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tlovao\Documents\Analýza a prognóza\"/>
    </mc:Choice>
  </mc:AlternateContent>
  <bookViews>
    <workbookView xWindow="-105" yWindow="-105" windowWidth="38625" windowHeight="21225" activeTab="4"/>
  </bookViews>
  <sheets>
    <sheet name="1_Analýza" sheetId="10" r:id="rId1"/>
    <sheet name="2_Prognóza" sheetId="11" r:id="rId2"/>
    <sheet name="3_Investori" sheetId="12" r:id="rId3"/>
    <sheet name="4_Podpora zamestnanosti" sheetId="13" r:id="rId4"/>
    <sheet name="5_Projekty a programy" sheetId="18" r:id="rId5"/>
    <sheet name="Plan" sheetId="17" r:id="rId6"/>
    <sheet name="Minulost" sheetId="16" r:id="rId7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2" l="1"/>
  <c r="O49" i="16" l="1"/>
  <c r="B2" i="18" l="1"/>
  <c r="B2" i="12"/>
  <c r="B6" i="17" l="1"/>
  <c r="B5" i="17"/>
  <c r="BU49" i="16" l="1"/>
  <c r="BQ49" i="16" l="1"/>
  <c r="BP49" i="16"/>
  <c r="CB49" i="16" l="1"/>
  <c r="CA49" i="16"/>
  <c r="BH49" i="16" l="1"/>
  <c r="BG49" i="16"/>
  <c r="AX49" i="16"/>
  <c r="AW49" i="16"/>
  <c r="AM49" i="16" l="1"/>
  <c r="AD49" i="16" l="1"/>
  <c r="AE49" i="16"/>
  <c r="V49" i="16"/>
  <c r="U49" i="16"/>
  <c r="M49" i="16" l="1"/>
  <c r="L49" i="16" l="1"/>
  <c r="E49" i="16"/>
  <c r="BY49" i="16" l="1"/>
  <c r="BX49" i="16" l="1"/>
  <c r="BW49" i="16"/>
  <c r="BZ49" i="16" l="1"/>
  <c r="B17" i="17"/>
  <c r="B21" i="17" l="1"/>
  <c r="B8" i="17" l="1"/>
  <c r="BO49" i="16" l="1"/>
  <c r="S49" i="16" l="1"/>
  <c r="D49" i="16"/>
  <c r="B49" i="16" l="1"/>
  <c r="J49" i="16" l="1"/>
  <c r="K49" i="16" l="1"/>
  <c r="B20" i="17" l="1"/>
  <c r="BA49" i="16" l="1"/>
  <c r="BD49" i="16"/>
  <c r="AT49" i="16" l="1"/>
  <c r="AQ49" i="16"/>
  <c r="BB49" i="16" l="1"/>
  <c r="AS49" i="16"/>
  <c r="AR49" i="16"/>
  <c r="BC49" i="16"/>
  <c r="BM49" i="16" l="1"/>
  <c r="BL49" i="16"/>
  <c r="BK49" i="16"/>
  <c r="B19" i="17" l="1"/>
  <c r="B18" i="17"/>
  <c r="C1" i="13"/>
  <c r="AJ49" i="16"/>
  <c r="B16" i="17"/>
  <c r="B15" i="17"/>
  <c r="B14" i="17"/>
  <c r="B13" i="17"/>
  <c r="B12" i="17"/>
  <c r="B2" i="11"/>
  <c r="B11" i="17"/>
  <c r="B10" i="17"/>
  <c r="B9" i="17"/>
  <c r="B4" i="17"/>
  <c r="B2" i="17"/>
  <c r="B3" i="17"/>
  <c r="B1" i="17"/>
  <c r="Z49" i="16"/>
  <c r="AA49" i="16"/>
  <c r="R49" i="16"/>
  <c r="G49" i="16"/>
  <c r="J15" i="11" l="1"/>
  <c r="M6" i="11"/>
  <c r="M5" i="11" s="1"/>
  <c r="F12" i="11"/>
  <c r="C6" i="11"/>
  <c r="E8" i="11"/>
  <c r="C8" i="11"/>
  <c r="B8" i="11"/>
  <c r="G12" i="11"/>
  <c r="G15" i="11"/>
  <c r="J6" i="11"/>
  <c r="K6" i="11" s="1"/>
  <c r="E12" i="11"/>
  <c r="B6" i="11"/>
  <c r="D8" i="11"/>
  <c r="E15" i="11"/>
  <c r="M12" i="11"/>
  <c r="G6" i="11"/>
  <c r="D12" i="11"/>
  <c r="F9" i="11"/>
  <c r="D9" i="11"/>
  <c r="C15" i="11"/>
  <c r="G8" i="11"/>
  <c r="G7" i="11" s="1"/>
  <c r="D6" i="11"/>
  <c r="J12" i="11"/>
  <c r="F15" i="11"/>
  <c r="C12" i="11"/>
  <c r="E9" i="11"/>
  <c r="B12" i="11"/>
  <c r="D15" i="11"/>
  <c r="K15" i="11" s="1"/>
  <c r="L15" i="11" s="1"/>
  <c r="C9" i="11"/>
  <c r="B9" i="11"/>
  <c r="F8" i="11"/>
  <c r="E6" i="11"/>
  <c r="M8" i="11"/>
  <c r="F6" i="11"/>
  <c r="F5" i="11" s="1"/>
  <c r="J8" i="11"/>
  <c r="B15" i="11"/>
  <c r="M15" i="11"/>
  <c r="M9" i="13"/>
  <c r="G7" i="13"/>
  <c r="C8" i="13"/>
  <c r="J9" i="13"/>
  <c r="F9" i="13"/>
  <c r="O9" i="13" s="1"/>
  <c r="B8" i="13"/>
  <c r="G9" i="13"/>
  <c r="E9" i="13"/>
  <c r="B7" i="13"/>
  <c r="M7" i="13"/>
  <c r="E8" i="13"/>
  <c r="M8" i="13"/>
  <c r="N8" i="13" s="1"/>
  <c r="D9" i="13"/>
  <c r="I9" i="13" s="1"/>
  <c r="F6" i="13"/>
  <c r="E7" i="13"/>
  <c r="J8" i="13"/>
  <c r="C9" i="13"/>
  <c r="E6" i="13"/>
  <c r="G8" i="13"/>
  <c r="F8" i="13"/>
  <c r="O8" i="13" s="1"/>
  <c r="F7" i="13"/>
  <c r="O7" i="13" s="1"/>
  <c r="J7" i="13"/>
  <c r="D8" i="13"/>
  <c r="I8" i="13" s="1"/>
  <c r="M6" i="13"/>
  <c r="D6" i="13"/>
  <c r="D7" i="13"/>
  <c r="I7" i="13" s="1"/>
  <c r="J6" i="13"/>
  <c r="L6" i="13" s="1"/>
  <c r="C6" i="13"/>
  <c r="C7" i="13"/>
  <c r="G6" i="13"/>
  <c r="B6" i="13"/>
  <c r="P5" i="11"/>
  <c r="P7" i="11"/>
  <c r="N7" i="13" l="1"/>
  <c r="F7" i="11"/>
  <c r="N9" i="13"/>
  <c r="N15" i="11"/>
  <c r="O15" i="11" s="1"/>
  <c r="E7" i="11"/>
  <c r="N7" i="11" s="1"/>
  <c r="O7" i="11" s="1"/>
  <c r="N8" i="11"/>
  <c r="O8" i="11" s="1"/>
  <c r="L7" i="13"/>
  <c r="J7" i="11"/>
  <c r="N12" i="11"/>
  <c r="O12" i="11" s="1"/>
  <c r="M7" i="11"/>
  <c r="K12" i="11"/>
  <c r="L12" i="11"/>
  <c r="N6" i="11"/>
  <c r="O6" i="11" s="1"/>
  <c r="E5" i="11"/>
  <c r="N5" i="11" s="1"/>
  <c r="O5" i="11" s="1"/>
  <c r="I6" i="13"/>
  <c r="N6" i="13"/>
  <c r="O6" i="13"/>
  <c r="B7" i="11"/>
  <c r="L9" i="13"/>
  <c r="L8" i="13"/>
  <c r="K7" i="13"/>
  <c r="H6" i="13"/>
  <c r="H8" i="13"/>
  <c r="L6" i="11"/>
  <c r="K8" i="13"/>
  <c r="D7" i="11"/>
  <c r="K8" i="11"/>
  <c r="L8" i="11" s="1"/>
  <c r="K6" i="13"/>
  <c r="H7" i="13"/>
  <c r="H9" i="13"/>
  <c r="K9" i="13"/>
  <c r="J5" i="11"/>
  <c r="B5" i="11"/>
  <c r="H15" i="11"/>
  <c r="I15" i="11" s="1"/>
  <c r="H6" i="11"/>
  <c r="I6" i="11" s="1"/>
  <c r="H12" i="11"/>
  <c r="I12" i="11" s="1"/>
  <c r="G5" i="11"/>
  <c r="B7" i="17"/>
  <c r="D5" i="11"/>
  <c r="H8" i="11"/>
  <c r="I8" i="11" s="1"/>
  <c r="K7" i="11" l="1"/>
  <c r="L7" i="11"/>
  <c r="K5" i="11"/>
  <c r="L5" i="11" s="1"/>
  <c r="I49" i="16"/>
  <c r="H49" i="16"/>
  <c r="C49" i="16"/>
  <c r="C7" i="11" l="1"/>
  <c r="C5" i="11"/>
  <c r="H5" i="11" l="1"/>
  <c r="I5" i="11" s="1"/>
  <c r="H7" i="11"/>
  <c r="I7" i="11" s="1"/>
  <c r="AI49" i="16"/>
  <c r="AH49" i="16"/>
  <c r="Y49" i="16"/>
  <c r="Q49" i="16"/>
  <c r="P49" i="16"/>
</calcChain>
</file>

<file path=xl/sharedStrings.xml><?xml version="1.0" encoding="utf-8"?>
<sst xmlns="http://schemas.openxmlformats.org/spreadsheetml/2006/main" count="280" uniqueCount="219">
  <si>
    <t>Bratislava</t>
  </si>
  <si>
    <t>Malacky</t>
  </si>
  <si>
    <t>Pezinok</t>
  </si>
  <si>
    <t>Dunajská Streda</t>
  </si>
  <si>
    <t>Galanta</t>
  </si>
  <si>
    <t>Piešťany</t>
  </si>
  <si>
    <t>Senica</t>
  </si>
  <si>
    <t>Trnava</t>
  </si>
  <si>
    <t>Partizánske</t>
  </si>
  <si>
    <t>Nové Mesto nad Váhom</t>
  </si>
  <si>
    <t>Považská Bystrica</t>
  </si>
  <si>
    <t>Prievidza</t>
  </si>
  <si>
    <t>Trenčín</t>
  </si>
  <si>
    <t>Komárno</t>
  </si>
  <si>
    <t>Levice</t>
  </si>
  <si>
    <t>Nitra</t>
  </si>
  <si>
    <t>Nové Zámky</t>
  </si>
  <si>
    <t>Topoľčany</t>
  </si>
  <si>
    <t>Čadca</t>
  </si>
  <si>
    <t>Dolný Kubín</t>
  </si>
  <si>
    <t>Námestovo</t>
  </si>
  <si>
    <t>Liptovský Mikuláš</t>
  </si>
  <si>
    <t>Martin</t>
  </si>
  <si>
    <t>Ružomberok</t>
  </si>
  <si>
    <t>Žilina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</si>
  <si>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</si>
  <si>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</si>
  <si>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</si>
  <si>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</si>
  <si>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</si>
  <si>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</si>
  <si>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</si>
  <si>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</si>
  <si>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Bardejov</t>
  </si>
  <si>
    <t>Humenné</t>
  </si>
  <si>
    <t>Poprad</t>
  </si>
  <si>
    <t>Prešov</t>
  </si>
  <si>
    <t>Stará Ľubovňa</t>
  </si>
  <si>
    <t>Stropkov</t>
  </si>
  <si>
    <t>Vranov nad Topľou</t>
  </si>
  <si>
    <t>Košice</t>
  </si>
  <si>
    <t>Michalovce</t>
  </si>
  <si>
    <t>Rožňava</t>
  </si>
  <si>
    <t>Spišská Nová Ves</t>
  </si>
  <si>
    <t>Trebišov</t>
  </si>
  <si>
    <t>Kežmarok</t>
  </si>
  <si>
    <t>NA</t>
  </si>
  <si>
    <t>Slovensko</t>
  </si>
  <si>
    <t>Miera evidovanej nezamestnanosti (MEN)</t>
  </si>
  <si>
    <t xml:space="preserve">Ekonomicky aktívne obyvateľstvo: </t>
  </si>
  <si>
    <t>DN UoZ</t>
  </si>
  <si>
    <t>Stav 2018</t>
  </si>
  <si>
    <t>Plnenie plánu v %</t>
  </si>
  <si>
    <t>Zvoľte Úrad:</t>
  </si>
  <si>
    <t>Úrad</t>
  </si>
  <si>
    <t>Analýza trhu práce vo vašom územnom obvode</t>
  </si>
  <si>
    <t>Dlhodobo nezamestnaní UoZ (DN UoZ)</t>
  </si>
  <si>
    <t>Mladí do 29 rokov</t>
  </si>
  <si>
    <t>Stav 2017</t>
  </si>
  <si>
    <t>Realita</t>
  </si>
  <si>
    <t>Počet DN UoZ stav k 31.12.2018</t>
  </si>
  <si>
    <t>MEN</t>
  </si>
  <si>
    <t>UoZ_do29</t>
  </si>
  <si>
    <t>Investori v regióne a hromadné prepúšťanie</t>
  </si>
  <si>
    <t>Očakávate príchod nových investorov?</t>
  </si>
  <si>
    <t>Áno</t>
  </si>
  <si>
    <t>Nie</t>
  </si>
  <si>
    <t>Zvoľte odpoveď</t>
  </si>
  <si>
    <t>Zadajte počet</t>
  </si>
  <si>
    <t>Investori</t>
  </si>
  <si>
    <t>Prepúšťanie</t>
  </si>
  <si>
    <t xml:space="preserve">Počet agentov pre VPM: </t>
  </si>
  <si>
    <t>Počet realizovaných VK:</t>
  </si>
  <si>
    <t>Počet UoZ do 29 rokov stav k 31.12.2018</t>
  </si>
  <si>
    <t>Priority podpory zamestnanosti v územnom obvode úradu:</t>
  </si>
  <si>
    <t>VPM</t>
  </si>
  <si>
    <t>VK</t>
  </si>
  <si>
    <t>Očakávate hromadné prepúšťanie (HP)?</t>
  </si>
  <si>
    <r>
      <t xml:space="preserve">Ako prvé nastavte svoj úrad! </t>
    </r>
    <r>
      <rPr>
        <b/>
        <sz val="16"/>
        <color rgb="FFFF0000"/>
        <rFont val="Calibri"/>
        <family val="2"/>
        <charset val="238"/>
      </rPr>
      <t>↓</t>
    </r>
  </si>
  <si>
    <t>Analýzy a prognózy o vývoji trhu práce vo svojom územnom obvode podľa  § 13 písm. aa)  zákona o službách zamestnanosti</t>
  </si>
  <si>
    <r>
      <rPr>
        <sz val="10"/>
        <color rgb="FFFF0000"/>
        <rFont val="Calibri"/>
        <family val="2"/>
        <charset val="238"/>
      </rPr>
      <t>←</t>
    </r>
    <r>
      <rPr>
        <sz val="10"/>
        <color rgb="FFFF0000"/>
        <rFont val="Tahoma"/>
        <family val="2"/>
      </rPr>
      <t>vyplniť</t>
    </r>
  </si>
  <si>
    <t>Disponibilný počet uchádzačov o zamestnanie ku koncu roka:</t>
  </si>
  <si>
    <t>Celkový počet uchádzačov o zamestnanie ku koncu roka:</t>
  </si>
  <si>
    <t xml:space="preserve">Miera nezamestnanosti vypočítaná z celkového počtu UoZ </t>
  </si>
  <si>
    <t>Plánované zvýšenie</t>
  </si>
  <si>
    <t>Počet osobných návštev u zamestnávateľov (vrátane realizovaných stretnutí so zamestnávateľmi na úrade práce, raňajok so zamestnávateľmi):</t>
  </si>
  <si>
    <t>Skutočný počet (prítok) VPM v roku 2018</t>
  </si>
  <si>
    <t>Počet realizovaných VK 2018</t>
  </si>
  <si>
    <t>Počet osobných návštev u zamestnávateľov 2018</t>
  </si>
  <si>
    <t>Počet realizovaných VK 2017 (report)</t>
  </si>
  <si>
    <t>Skutočný počet (prítok) VPM v roku 2017</t>
  </si>
  <si>
    <t>x</t>
  </si>
  <si>
    <t>Stav  koniec 2017</t>
  </si>
  <si>
    <t>Stav koniec  2018</t>
  </si>
  <si>
    <t>Nové miesta</t>
  </si>
  <si>
    <t>Ohrozené PM</t>
  </si>
  <si>
    <t>Hrozby</t>
  </si>
  <si>
    <t>VPM – skutočný počet (prítok):</t>
  </si>
  <si>
    <t>Zadajte plánovaný počet návštev u zamestnávateľov</t>
  </si>
  <si>
    <t>Osobné návštevy</t>
  </si>
  <si>
    <t>Stav 2019</t>
  </si>
  <si>
    <t>Stav  koniec 2019</t>
  </si>
  <si>
    <t>Plán a plnenie 2019</t>
  </si>
  <si>
    <t>Plán 2019</t>
  </si>
  <si>
    <t>Počet DN UoZ stav k 31.12.2019</t>
  </si>
  <si>
    <t>Počet UoZ do 29 rokov stav k 31.12.2019</t>
  </si>
  <si>
    <t>Skutočný počet (prítok) VPM v roku 2019</t>
  </si>
  <si>
    <t>Počet realizovaných VK 2019</t>
  </si>
  <si>
    <t>Počet osobných návštev u zamestnávateľov 2019</t>
  </si>
  <si>
    <t>UoZ disp.</t>
  </si>
  <si>
    <t>UoZ celkový</t>
  </si>
  <si>
    <t>Plánované zníženie o</t>
  </si>
  <si>
    <t>UoZ poberatelia DvHN zaradení na TP</t>
  </si>
  <si>
    <t>Zadajte plánovaný počet zaradených UoZ poberajúcich DvHN na TP</t>
  </si>
  <si>
    <r>
      <t xml:space="preserve">Pomôckou je aktuálny report v Cognose, priečinok Sprostredkovanie zamestnania </t>
    </r>
    <r>
      <rPr>
        <sz val="10"/>
        <color theme="1"/>
        <rFont val="Calibri"/>
        <family val="2"/>
        <charset val="238"/>
      </rPr>
      <t>→</t>
    </r>
    <r>
      <rPr>
        <sz val="10"/>
        <color theme="1"/>
        <rFont val="Tahoma"/>
        <family val="2"/>
      </rPr>
      <t xml:space="preserve"> Poberatelia DHN</t>
    </r>
  </si>
  <si>
    <t>DvHN</t>
  </si>
  <si>
    <t>Agenti VPM</t>
  </si>
  <si>
    <t>Plán a plnenie 2020</t>
  </si>
  <si>
    <t>Počet UoZ do 29 rokov stav k 31.12.2020</t>
  </si>
  <si>
    <t>Skutočný počet (prítok) VPM v roku 2020</t>
  </si>
  <si>
    <t>Počet realizovaných VK 2020</t>
  </si>
  <si>
    <t>Počet osobných návštev u zamestnávateľov 2020</t>
  </si>
  <si>
    <t>Stav 2020</t>
  </si>
  <si>
    <t>Plán 2020</t>
  </si>
  <si>
    <t>EAO za prvý štvrťrok 2021</t>
  </si>
  <si>
    <t>Územná pôsobnosť UPSVR</t>
  </si>
  <si>
    <r>
      <t xml:space="preserve">EAO za štvrtý štvrťrok </t>
    </r>
    <r>
      <rPr>
        <b/>
        <sz val="10"/>
        <rFont val="Calibri"/>
        <family val="2"/>
        <charset val="238"/>
        <scheme val="minor"/>
      </rPr>
      <t>2017</t>
    </r>
  </si>
  <si>
    <r>
      <t xml:space="preserve">EAO za štvrtý štvrťrok </t>
    </r>
    <r>
      <rPr>
        <b/>
        <sz val="10"/>
        <rFont val="Calibri"/>
        <family val="2"/>
        <charset val="238"/>
        <scheme val="minor"/>
      </rPr>
      <t>2018</t>
    </r>
  </si>
  <si>
    <r>
      <t xml:space="preserve">EAO za štvrtý štvrťrok </t>
    </r>
    <r>
      <rPr>
        <b/>
        <sz val="10"/>
        <rFont val="Calibri"/>
        <family val="2"/>
        <charset val="238"/>
        <scheme val="minor"/>
      </rPr>
      <t>2019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</si>
  <si>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EAO za štvrtý štvrťrok </t>
    </r>
    <r>
      <rPr>
        <b/>
        <sz val="10"/>
        <rFont val="Calibri"/>
        <family val="2"/>
        <charset val="238"/>
        <scheme val="minor"/>
      </rPr>
      <t>2020</t>
    </r>
    <r>
      <rPr>
        <sz val="11"/>
        <color theme="1"/>
        <rFont val="Calibri"/>
        <family val="2"/>
        <charset val="238"/>
        <scheme val="minor"/>
      </rPr>
      <t/>
    </r>
  </si>
  <si>
    <r>
      <t>Disponibilný počet UoZ stav  k 31.12.</t>
    </r>
    <r>
      <rPr>
        <b/>
        <sz val="10"/>
        <rFont val="Calibri"/>
        <family val="2"/>
        <charset val="238"/>
        <scheme val="minor"/>
      </rPr>
      <t>2017</t>
    </r>
  </si>
  <si>
    <r>
      <t>Disponibilný počet UoZ stav  k 31.12.</t>
    </r>
    <r>
      <rPr>
        <b/>
        <sz val="10"/>
        <rFont val="Calibri"/>
        <family val="2"/>
        <charset val="238"/>
        <scheme val="minor"/>
      </rPr>
      <t>2018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</si>
  <si>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disponibilný počet UoZ k 31.12</t>
    </r>
    <r>
      <rPr>
        <b/>
        <sz val="10"/>
        <rFont val="Calibri"/>
        <family val="2"/>
        <charset val="238"/>
        <scheme val="minor"/>
      </rPr>
      <t>.2018</t>
    </r>
  </si>
  <si>
    <r>
      <t>Disponibilný počet UoZ stav  k 31.12.</t>
    </r>
    <r>
      <rPr>
        <b/>
        <sz val="10"/>
        <rFont val="Calibri"/>
        <family val="2"/>
        <charset val="238"/>
        <scheme val="minor"/>
      </rPr>
      <t>2019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</si>
  <si>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disponibilný počet UoZ k 31.12</t>
    </r>
    <r>
      <rPr>
        <b/>
        <sz val="10"/>
        <rFont val="Calibri"/>
        <family val="2"/>
        <charset val="238"/>
        <scheme val="minor"/>
      </rPr>
      <t>.2019</t>
    </r>
  </si>
  <si>
    <r>
      <t>Disponibilný počet UoZ stav  k 31.12.</t>
    </r>
    <r>
      <rPr>
        <b/>
        <sz val="10"/>
        <rFont val="Calibri"/>
        <family val="2"/>
        <charset val="238"/>
        <scheme val="minor"/>
      </rPr>
      <t>2020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</si>
  <si>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disponibilný počet UoZ k 31.12.2020</t>
    </r>
  </si>
  <si>
    <r>
      <t>Počet DN UoZ stav k 31.12.</t>
    </r>
    <r>
      <rPr>
        <b/>
        <sz val="10"/>
        <rFont val="Calibri"/>
        <family val="2"/>
        <charset val="238"/>
        <scheme val="minor"/>
      </rPr>
      <t>2017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</si>
  <si>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DN UoZ k 31.12.2018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</si>
  <si>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DN UoZ k 31.12.2019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</si>
  <si>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UoZ do 29 rokov k 31.12.2018</t>
    </r>
  </si>
  <si>
    <r>
      <t xml:space="preserve">EAO za prvý štvrťrok </t>
    </r>
    <r>
      <rPr>
        <b/>
        <sz val="10"/>
        <rFont val="Calibri"/>
        <family val="2"/>
        <charset val="238"/>
        <scheme val="minor"/>
      </rPr>
      <t>2020</t>
    </r>
  </si>
  <si>
    <r>
      <rPr>
        <b/>
        <sz val="10"/>
        <color rgb="FFFF0000"/>
        <rFont val="Calibri"/>
        <family val="2"/>
        <charset val="238"/>
        <scheme val="minor"/>
      </rPr>
      <t>Plán</t>
    </r>
    <r>
      <rPr>
        <b/>
        <sz val="10"/>
        <color rgb="FF000000"/>
        <rFont val="Calibri"/>
        <family val="2"/>
        <charset val="238"/>
        <scheme val="minor"/>
      </rPr>
      <t xml:space="preserve"> zaradenia  UoZ poberateľov DvHN na TP v roku 2018</t>
    </r>
  </si>
  <si>
    <r>
      <t xml:space="preserve">Počet </t>
    </r>
    <r>
      <rPr>
        <b/>
        <sz val="10"/>
        <color rgb="FFFF0000"/>
        <rFont val="Calibri"/>
        <family val="2"/>
        <charset val="238"/>
        <scheme val="minor"/>
      </rPr>
      <t>plánovaných</t>
    </r>
    <r>
      <rPr>
        <b/>
        <sz val="10"/>
        <color rgb="FF000000"/>
        <rFont val="Calibri"/>
        <family val="2"/>
        <charset val="238"/>
        <scheme val="minor"/>
      </rPr>
      <t xml:space="preserve"> osobných návštev u zamestnávateľov 2020</t>
    </r>
  </si>
  <si>
    <r>
      <t xml:space="preserve">Počet </t>
    </r>
    <r>
      <rPr>
        <b/>
        <sz val="10"/>
        <color rgb="FFFF0000"/>
        <rFont val="Calibri"/>
        <family val="2"/>
        <charset val="238"/>
        <scheme val="minor"/>
      </rPr>
      <t>plánovaných</t>
    </r>
    <r>
      <rPr>
        <b/>
        <sz val="10"/>
        <color rgb="FF000000"/>
        <rFont val="Calibri"/>
        <family val="2"/>
        <charset val="238"/>
        <scheme val="minor"/>
      </rPr>
      <t xml:space="preserve"> osobných návštev u zamestnávateľov 2019</t>
    </r>
  </si>
  <si>
    <r>
      <t xml:space="preserve">Počet </t>
    </r>
    <r>
      <rPr>
        <b/>
        <sz val="10"/>
        <color rgb="FFFF0000"/>
        <rFont val="Calibri"/>
        <family val="2"/>
        <charset val="238"/>
        <scheme val="minor"/>
      </rPr>
      <t>plánovaných</t>
    </r>
    <r>
      <rPr>
        <b/>
        <sz val="10"/>
        <color rgb="FF000000"/>
        <rFont val="Calibri"/>
        <family val="2"/>
        <charset val="238"/>
        <scheme val="minor"/>
      </rPr>
      <t xml:space="preserve"> osobných návštev u zamestnávateľov 2018</t>
    </r>
  </si>
  <si>
    <r>
      <t xml:space="preserve">Počet </t>
    </r>
    <r>
      <rPr>
        <b/>
        <sz val="10"/>
        <color rgb="FFFFFF00"/>
        <rFont val="Calibri"/>
        <family val="2"/>
        <charset val="238"/>
        <scheme val="minor"/>
      </rPr>
      <t>plánovaných</t>
    </r>
    <r>
      <rPr>
        <b/>
        <sz val="10"/>
        <color rgb="FF000000"/>
        <rFont val="Calibri"/>
        <family val="2"/>
        <charset val="238"/>
        <scheme val="minor"/>
      </rPr>
      <t xml:space="preserve"> VK 2018</t>
    </r>
  </si>
  <si>
    <r>
      <t xml:space="preserve">Počet </t>
    </r>
    <r>
      <rPr>
        <b/>
        <sz val="10"/>
        <color rgb="FFFFFF00"/>
        <rFont val="Calibri"/>
        <family val="2"/>
        <charset val="238"/>
        <scheme val="minor"/>
      </rPr>
      <t>plánovaných</t>
    </r>
    <r>
      <rPr>
        <b/>
        <sz val="10"/>
        <color rgb="FF000000"/>
        <rFont val="Calibri"/>
        <family val="2"/>
        <charset val="238"/>
        <scheme val="minor"/>
      </rPr>
      <t xml:space="preserve"> VK 2019</t>
    </r>
  </si>
  <si>
    <r>
      <t>Počet</t>
    </r>
    <r>
      <rPr>
        <b/>
        <sz val="10"/>
        <color rgb="FFFFFF00"/>
        <rFont val="Calibri"/>
        <family val="2"/>
        <charset val="238"/>
        <scheme val="minor"/>
      </rPr>
      <t xml:space="preserve"> plánovaných</t>
    </r>
    <r>
      <rPr>
        <b/>
        <sz val="10"/>
        <color rgb="FF000000"/>
        <rFont val="Calibri"/>
        <family val="2"/>
        <charset val="238"/>
        <scheme val="minor"/>
      </rPr>
      <t xml:space="preserve"> VK 2020</t>
    </r>
  </si>
  <si>
    <t>Problémy Covid-19</t>
  </si>
  <si>
    <t>Riešenia Covid-19</t>
  </si>
  <si>
    <t>Situácia na TP</t>
  </si>
  <si>
    <t>Problémy úradu</t>
  </si>
  <si>
    <t>Riešenia úradu</t>
  </si>
  <si>
    <r>
      <rPr>
        <b/>
        <sz val="10"/>
        <color rgb="FFFF0000"/>
        <rFont val="Calibri"/>
        <family val="2"/>
        <charset val="238"/>
        <scheme val="minor"/>
      </rPr>
      <t xml:space="preserve">Plánovaný </t>
    </r>
    <r>
      <rPr>
        <b/>
        <sz val="10"/>
        <color rgb="FF000000"/>
        <rFont val="Calibri"/>
        <family val="2"/>
        <charset val="238"/>
        <scheme val="minor"/>
      </rPr>
      <t>počet VPM       v roku 2020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</si>
  <si>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UoZ       do 29 rokov k 31.12.2020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</si>
  <si>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UoZ do 29 rokov       k 31.12.2019</t>
    </r>
  </si>
  <si>
    <t>Počet UoZ do 29 rokov stav                    k 31.12.2017</t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</si>
  <si>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DN UoZ                  k 31.12.2020</t>
    </r>
  </si>
  <si>
    <t>Počet DN UoZ stav       k 31.12.2020</t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</si>
  <si>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VPM       v roku 2018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</si>
  <si>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VPM       v roku 2019</t>
    </r>
  </si>
  <si>
    <t>Počet realizovaných VK 2017 (z odpočtu úradu)</t>
  </si>
  <si>
    <t>Počet osobných návštev u zamestnávateľov 2017                        (z odpočtu úradu)</t>
  </si>
  <si>
    <t>Počet osobných návštev u zamestnávateľov 2017                         (z reportu)</t>
  </si>
  <si>
    <t>Stav UoZ          k 31.12.2017</t>
  </si>
  <si>
    <t>Celkový počet UoZ                      k 31.12.2018</t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</si>
  <si>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celkový počet UoZ                     k 31.12.2018</t>
    </r>
  </si>
  <si>
    <t>Celkový počet UoZ                       k 31.12.2019</t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</si>
  <si>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celkový počet UoZ                     k 31.12.2019</t>
    </r>
  </si>
  <si>
    <t>Celkový počet UoZ                      k 31.12.2020</t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</si>
  <si>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celkový počet UoZ                      k 31.12.2020</t>
    </r>
  </si>
  <si>
    <t>UoZ poberatelia DvHN zaradení       na TP 2018</t>
  </si>
  <si>
    <t>UoZ poberatelia DvHN zaradení       na TP 2019</t>
  </si>
  <si>
    <r>
      <rPr>
        <b/>
        <sz val="10"/>
        <color rgb="FFFF0000"/>
        <rFont val="Calibri"/>
        <family val="2"/>
        <charset val="238"/>
        <scheme val="minor"/>
      </rPr>
      <t>Plán</t>
    </r>
    <r>
      <rPr>
        <b/>
        <sz val="10"/>
        <color rgb="FF000000"/>
        <rFont val="Calibri"/>
        <family val="2"/>
        <charset val="238"/>
        <scheme val="minor"/>
      </rPr>
      <t xml:space="preserve"> zaradenia  UoZ poberateľov DvHN na TP       v roku 2019</t>
    </r>
  </si>
  <si>
    <t>UoZ poberatelia DvHN zaradení       na TP 2020</t>
  </si>
  <si>
    <r>
      <rPr>
        <b/>
        <sz val="10"/>
        <color rgb="FFFF0000"/>
        <rFont val="Calibri"/>
        <family val="2"/>
        <charset val="238"/>
        <scheme val="minor"/>
      </rPr>
      <t xml:space="preserve">Plán </t>
    </r>
    <r>
      <rPr>
        <b/>
        <sz val="10"/>
        <color rgb="FF000000"/>
        <rFont val="Calibri"/>
        <family val="2"/>
        <charset val="238"/>
        <scheme val="minor"/>
      </rPr>
      <t>zaradenia  UoZ poberateľov DvHN na TP        v roku 2020</t>
    </r>
  </si>
  <si>
    <t>Počet DN UoZ ku koncu roka</t>
  </si>
  <si>
    <t>Počet UoZ do 29 rokov ku koncu roka</t>
  </si>
  <si>
    <t>Projekty a programy + vybrané opatrenia</t>
  </si>
  <si>
    <t>EAO za štvrtý štvrťrok 2021</t>
  </si>
  <si>
    <r>
      <t>Disponibilný počet UoZ stav  k 31.12.</t>
    </r>
    <r>
      <rPr>
        <b/>
        <sz val="10"/>
        <rFont val="Calibri"/>
        <family val="2"/>
        <charset val="238"/>
        <scheme val="minor"/>
      </rPr>
      <t>2021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</si>
  <si>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disponibilný počet UoZ k 31.12.2021</t>
    </r>
  </si>
  <si>
    <t>Počet DN UoZ stav       k 31.12.2021</t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</si>
  <si>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DN UoZ                  k 31.12.2021</t>
    </r>
  </si>
  <si>
    <t>Počet UoZ do 29 rokov stav k 31.12.2021</t>
  </si>
  <si>
    <t>Skutočný počet (prítok) VPM v roku 2021</t>
  </si>
  <si>
    <r>
      <rPr>
        <b/>
        <sz val="10"/>
        <color rgb="FFFF0000"/>
        <rFont val="Calibri"/>
        <family val="2"/>
        <charset val="238"/>
        <scheme val="minor"/>
      </rPr>
      <t xml:space="preserve">Plánovaný </t>
    </r>
    <r>
      <rPr>
        <b/>
        <sz val="10"/>
        <color rgb="FF000000"/>
        <rFont val="Calibri"/>
        <family val="2"/>
        <charset val="238"/>
        <scheme val="minor"/>
      </rPr>
      <t>počet VPM       v roku 2021</t>
    </r>
  </si>
  <si>
    <t>Počet realizovaných VK 2021</t>
  </si>
  <si>
    <r>
      <t>Počet</t>
    </r>
    <r>
      <rPr>
        <b/>
        <sz val="10"/>
        <color rgb="FFFFFF00"/>
        <rFont val="Calibri"/>
        <family val="2"/>
        <charset val="238"/>
        <scheme val="minor"/>
      </rPr>
      <t xml:space="preserve"> plánovaných</t>
    </r>
    <r>
      <rPr>
        <b/>
        <sz val="10"/>
        <color rgb="FF000000"/>
        <rFont val="Calibri"/>
        <family val="2"/>
        <charset val="238"/>
        <scheme val="minor"/>
      </rPr>
      <t xml:space="preserve"> VK 2021</t>
    </r>
  </si>
  <si>
    <t>Počet osobných návštev u zamestnávateľov 2021</t>
  </si>
  <si>
    <r>
      <t xml:space="preserve">Počet </t>
    </r>
    <r>
      <rPr>
        <b/>
        <sz val="10"/>
        <color rgb="FFFF0000"/>
        <rFont val="Calibri"/>
        <family val="2"/>
        <charset val="238"/>
        <scheme val="minor"/>
      </rPr>
      <t>plánovaných</t>
    </r>
    <r>
      <rPr>
        <b/>
        <sz val="10"/>
        <color rgb="FF000000"/>
        <rFont val="Calibri"/>
        <family val="2"/>
        <charset val="238"/>
        <scheme val="minor"/>
      </rPr>
      <t xml:space="preserve"> osobných návštev u zamestnávateľov 2021</t>
    </r>
  </si>
  <si>
    <t>Celkový počet UoZ                      k 31.12.2021</t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</si>
  <si>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celkový počet UoZ                      k 31.12.2021</t>
    </r>
  </si>
  <si>
    <t>EAO za prvý štvrťrok 2022</t>
  </si>
  <si>
    <t>UoZ poberatelia DvHN zaradení       na TP 2021</t>
  </si>
  <si>
    <r>
      <rPr>
        <b/>
        <sz val="10"/>
        <color rgb="FFFF0000"/>
        <rFont val="Calibri"/>
        <family val="2"/>
        <charset val="238"/>
        <scheme val="minor"/>
      </rPr>
      <t xml:space="preserve">Plán </t>
    </r>
    <r>
      <rPr>
        <b/>
        <sz val="10"/>
        <color rgb="FF000000"/>
        <rFont val="Calibri"/>
        <family val="2"/>
        <charset val="238"/>
        <scheme val="minor"/>
      </rPr>
      <t>zaradenia  UoZ poberateľov DvHN na TP        v roku 2021</t>
    </r>
  </si>
  <si>
    <r>
      <rPr>
        <b/>
        <sz val="10"/>
        <color rgb="FFFF0000"/>
        <rFont val="Calibri"/>
        <family val="2"/>
        <charset val="238"/>
        <scheme val="minor"/>
      </rPr>
      <t>Plánovaný</t>
    </r>
    <r>
      <rPr>
        <b/>
        <sz val="10"/>
        <color rgb="FF000000"/>
        <rFont val="Calibri"/>
        <family val="2"/>
        <charset val="238"/>
        <scheme val="minor"/>
      </rPr>
      <t xml:space="preserve"> počet UoZ       do 29 rokov k 31.12.2021</t>
    </r>
  </si>
  <si>
    <t>Regionálny plán zamestnanosti na rok 2022</t>
  </si>
  <si>
    <t>Plán 2021</t>
  </si>
  <si>
    <t>Plán a plnenie 2021</t>
  </si>
  <si>
    <t>Stav koniec 2020</t>
  </si>
  <si>
    <t>Stav koniec 2021</t>
  </si>
  <si>
    <t>Plán na 2022</t>
  </si>
  <si>
    <t>Predpokladaný počet ohrozených miest HP v roku 2022:</t>
  </si>
  <si>
    <t>Zadajte odhadovaný prítok VPM za rok 2022</t>
  </si>
  <si>
    <t>Zadajte plánovaný počet výberových konaní v roku 2022</t>
  </si>
  <si>
    <t>Predpokladaný počet zaradených UoZ, resp. počtov podporených UoZ na všetky NP a opatrenia v roku 2022</t>
  </si>
  <si>
    <t>Prognóza vývoja trhu práce - určenie a kvantifikácia hlavných cieľov úradu pre rok 2022</t>
  </si>
  <si>
    <t>Stav 2021</t>
  </si>
  <si>
    <t>←vyplniť</t>
  </si>
  <si>
    <t>D. Opíšte tohto času najpálčivejšie problémy vyplývajúce zo súčasného stavu súvisiaceho s pandémiou COVID-19 vo svojom územnom obvode: viď. bod C/</t>
  </si>
  <si>
    <r>
      <t xml:space="preserve">C. Napíšte návrh opatrení pre zmiernenie problémov na Vašom úrade: </t>
    </r>
    <r>
      <rPr>
        <sz val="10"/>
        <color theme="1"/>
        <rFont val="Tahoma"/>
        <family val="2"/>
        <charset val="238"/>
      </rPr>
      <t>Vyriešenie funkčnosti podateľne/recepcie na úroveň poskytujúcu služby v prípade pandémie a obmedzenému pohybu klientov na pracoviskách (prístup k sieti, počítač , telefón) hlavne pracovisko Holíč.  Výberová  miestnosť/zasadačka na realizáciu výberových konaní pre pracovisko Senica.</t>
    </r>
  </si>
  <si>
    <t xml:space="preserve">A. Veľmi stručne zhodnoťte vývoj na trhu práce v roku 2021 vo svojom územnom obvode:Veľmi stručne zhodnoťte vývoj na TP v roku 2021 vo svojom územnom obvode
Rok 2021 bol ovplyvnený pandémiou korona vírusu, jednotlivé vlny ovplyvňovali nielen odvetvia hospodárstva,  ale aj zamestnanosť, prácu s klientom, aktivity úradu a v neposlednom rade aj chorobnosť zamestnancov úradu. Vývoj počtu UoZ v oboch okresoch spolu v  roku 2021 ukazuje,  že počty UoZ  postupne od začiatku roku mierne medzimesačne  klesali (okrem mesiacov jún a december 2021, kedy počet UoZ medzimesačne stúpol). Najvyšší počet UoZ bol v januári 2021 a najnižší v mesiaci november 2021. Situácia na trhu práce bola relatívne stabilizovaná, na trhu práce prevládal dostatok voľných pracovných miest,  hlavne v rôznych robotníckych a obslužných profesiách. Koncom roku nezamestnanosť tradične mierne stúpla, do evidencie prišli hlavne sezónni zamestnanci, ktorí ukončili zamestnanie v SR, ale aj zo zahraničia, členských štátov EÚ (hlavne z Rakúska). 
</t>
  </si>
  <si>
    <r>
      <t xml:space="preserve">B. Identifikujte oblasti, ktoré považujete za slabé miesta v činnosti Vášho úradu (organizačné zmeny, personálne zmeny,...): </t>
    </r>
    <r>
      <rPr>
        <sz val="10"/>
        <color theme="1"/>
        <rFont val="Tahoma"/>
        <family val="2"/>
        <charset val="238"/>
      </rPr>
      <t>Organizačné rozdelenie úradu t.j. dva odlišné okresy (Skalica priemyselnejší, veľké zastúpenie dominantných zamestnávateľov regiónu, Senica menej zamestnávateľov, menej pracovných príležitostí), nízka dostupnosť inraštruktúry a verejnej dopravy v regióne aj mimo neho. Rozdelenie úradu a centrálne riadenie  štyroch pracovisk. V prípade vážnych situácií akou bola pandémia, problematická zastupiteľnosť zamestnancov pri zvýšenej chorobnosti.</t>
    </r>
  </si>
  <si>
    <r>
      <t xml:space="preserve">E. Opíšte návrhy pre zmiernenie dopadov vyhlásenej mimoriadnej situácie v súvislosti s pandémiou COVID-19 vo Vašom územnom obvode, cielené nielen na podporu udržania pracovných miest, ale hlavne na podporu vytvárania nových pracovných miest: </t>
    </r>
    <r>
      <rPr>
        <sz val="10"/>
        <color theme="1"/>
        <rFont val="Tahoma"/>
        <family val="2"/>
        <charset val="238"/>
      </rPr>
      <t xml:space="preserve">zriadenie podateľne/recepcie vo vesibule pracoviska Senica, Holíč, Skalica s prístupom na sieť a telefonickou linkou. Trvalé pracovné miesto na všetkých pracoviskách úradu pre bezpečnostnú službu a usmerňovanie klientov. </t>
    </r>
  </si>
  <si>
    <r>
      <t xml:space="preserve">Stručné zhodnotenie </t>
    </r>
    <r>
      <rPr>
        <sz val="10"/>
        <color rgb="FFFF0000"/>
        <rFont val="Tahoma"/>
        <family val="2"/>
        <charset val="238"/>
      </rPr>
      <t>príležitostí a hrozieb</t>
    </r>
    <r>
      <rPr>
        <sz val="10"/>
        <color theme="1"/>
        <rFont val="Tahoma"/>
        <family val="2"/>
      </rPr>
      <t xml:space="preserve"> vo Vašom obvode počas roku 2021: pandémia Korona vírusu, obmedzenie a uzatvorenie prevádzok zamestnávateľov, obmedzenie pohybu klientov, obmedzenie aktivít úradu, výberových konaní a ponúk.  </t>
    </r>
  </si>
  <si>
    <t xml:space="preserve">V čase spracovania analýzy sa situácia v súvislosti s pandémiou COVID-19 už stabilizuje, najväčšie problémy (obmedzenie pohybu klientov po úrade, vysoká práceneschopnosť zamestnancov, nápory práce v súvislosti s realizáciou projektu "Prvá pomoc" - stále sa meniace podmienky a neúnosné množstvo vybavovanej agendy tohto projektu a ďalšie) sa postupne odbúravajú. T.č. už v súvislosti s pandémiou COVID-19 nie sú v podstate žiadne problémy. </t>
  </si>
  <si>
    <t>Dopady vyhlásenej mimoriadnej situácie sme riešili priebežne a v rámci možností úradu. V prípade potreby budeme vzniknutú situáciu vždy riešiť podľa aktuálnych podmienok a možností úradu.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</si>
</sst>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&quot;Kč&quot;_-;\-* #,##0.00\ &quot;Kč&quot;_-;_-* &quot;-&quot;??\ &quot;Kč&quot;_-;_-@_-"/>
  </numFmts>
  <fonts count="44" x14ac:knownFonts="1"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Tahoma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rgb="FFFF0000"/>
      <name val="Tahoma"/>
      <family val="2"/>
    </font>
    <font>
      <sz val="10"/>
      <color rgb="FFFF0000"/>
      <name val="Tahoma"/>
      <family val="2"/>
    </font>
    <font>
      <sz val="10"/>
      <color rgb="FFFF0000"/>
      <name val="Calibri"/>
      <family val="2"/>
      <charset val="238"/>
    </font>
    <font>
      <sz val="10"/>
      <color rgb="FFFF0000"/>
      <name val="Tahoma"/>
      <family val="2"/>
      <charset val="238"/>
    </font>
    <font>
      <b/>
      <sz val="16"/>
      <color rgb="FFFF0000"/>
      <name val="Calibri"/>
      <family val="2"/>
      <charset val="238"/>
    </font>
    <font>
      <b/>
      <sz val="12"/>
      <color rgb="FFFF000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name val="Arial CE"/>
      <charset val="238"/>
    </font>
    <font>
      <sz val="10"/>
      <name val="Arial CE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sz val="10"/>
      <color theme="1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sz val="10"/>
      <name val="Tahoma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17" fillId="0" borderId="0" applyNumberFormat="0" applyFill="0" applyBorder="0" applyAlignment="0" applyProtection="0"/>
    <xf numFmtId="0" fontId="2" fillId="0" borderId="0"/>
    <xf numFmtId="0" fontId="18" fillId="0" borderId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37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2" fillId="17" borderId="0" applyNumberFormat="0" applyBorder="0" applyAlignment="0" applyProtection="0"/>
    <xf numFmtId="0" fontId="23" fillId="22" borderId="32" applyNumberFormat="0" applyAlignment="0" applyProtection="0"/>
    <xf numFmtId="165" fontId="19" fillId="0" borderId="0" applyFont="0" applyFill="0" applyBorder="0" applyAlignment="0" applyProtection="0"/>
    <xf numFmtId="0" fontId="24" fillId="0" borderId="26" applyNumberFormat="0" applyFill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18" fillId="0" borderId="0"/>
    <xf numFmtId="0" fontId="5" fillId="0" borderId="0">
      <alignment vertical="top"/>
    </xf>
    <xf numFmtId="0" fontId="3" fillId="0" borderId="0"/>
    <xf numFmtId="0" fontId="19" fillId="0" borderId="0"/>
    <xf numFmtId="0" fontId="20" fillId="2" borderId="33" applyNumberFormat="0" applyFont="0" applyAlignment="0" applyProtection="0"/>
    <xf numFmtId="0" fontId="28" fillId="0" borderId="31" applyNumberFormat="0" applyFill="0" applyAlignment="0" applyProtection="0"/>
    <xf numFmtId="0" fontId="29" fillId="0" borderId="3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29" applyNumberFormat="0" applyAlignment="0" applyProtection="0"/>
    <xf numFmtId="0" fontId="32" fillId="21" borderId="29" applyNumberFormat="0" applyAlignment="0" applyProtection="0"/>
    <xf numFmtId="0" fontId="33" fillId="21" borderId="30" applyNumberFormat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9" fillId="0" borderId="0" xfId="0" applyFont="1" applyAlignment="1">
      <alignment horizontal="center"/>
    </xf>
    <xf numFmtId="0" fontId="0" fillId="5" borderId="0" xfId="0" applyFill="1"/>
    <xf numFmtId="0" fontId="0" fillId="0" borderId="0" xfId="0" applyFill="1"/>
    <xf numFmtId="0" fontId="0" fillId="0" borderId="0" xfId="0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0" fillId="0" borderId="2" xfId="0" applyBorder="1"/>
    <xf numFmtId="0" fontId="6" fillId="0" borderId="22" xfId="0" applyFont="1" applyBorder="1" applyAlignment="1">
      <alignment horizontal="justify" vertical="center"/>
    </xf>
    <xf numFmtId="0" fontId="7" fillId="0" borderId="22" xfId="0" applyFont="1" applyBorder="1"/>
    <xf numFmtId="0" fontId="7" fillId="0" borderId="22" xfId="0" applyFont="1" applyBorder="1" applyAlignment="1">
      <alignment horizontal="justify" vertical="center"/>
    </xf>
    <xf numFmtId="0" fontId="0" fillId="0" borderId="22" xfId="0" applyBorder="1"/>
    <xf numFmtId="0" fontId="0" fillId="0" borderId="5" xfId="0" applyBorder="1"/>
    <xf numFmtId="0" fontId="6" fillId="0" borderId="23" xfId="0" applyFont="1" applyBorder="1" applyAlignment="1">
      <alignment horizontal="justify" vertical="center"/>
    </xf>
    <xf numFmtId="0" fontId="7" fillId="0" borderId="21" xfId="0" applyFont="1" applyBorder="1" applyAlignment="1">
      <alignment horizontal="justify" vertical="center"/>
    </xf>
    <xf numFmtId="0" fontId="0" fillId="0" borderId="21" xfId="0" applyBorder="1"/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12" fillId="0" borderId="0" xfId="0" applyFont="1" applyFill="1" applyBorder="1"/>
    <xf numFmtId="0" fontId="6" fillId="0" borderId="23" xfId="0" applyFont="1" applyBorder="1" applyAlignment="1">
      <alignment wrapText="1"/>
    </xf>
    <xf numFmtId="0" fontId="4" fillId="0" borderId="22" xfId="0" applyFont="1" applyBorder="1"/>
    <xf numFmtId="0" fontId="4" fillId="0" borderId="0" xfId="0" applyFont="1" applyBorder="1"/>
    <xf numFmtId="0" fontId="13" fillId="0" borderId="0" xfId="0" applyFont="1"/>
    <xf numFmtId="0" fontId="0" fillId="5" borderId="4" xfId="0" applyFill="1" applyBorder="1"/>
    <xf numFmtId="0" fontId="0" fillId="5" borderId="6" xfId="0" applyFill="1" applyBorder="1"/>
    <xf numFmtId="0" fontId="4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0" fontId="0" fillId="5" borderId="3" xfId="2" applyNumberFormat="1" applyFont="1" applyFill="1" applyBorder="1"/>
    <xf numFmtId="0" fontId="0" fillId="0" borderId="6" xfId="0" applyBorder="1"/>
    <xf numFmtId="0" fontId="0" fillId="5" borderId="7" xfId="0" applyFill="1" applyBorder="1"/>
    <xf numFmtId="0" fontId="0" fillId="0" borderId="3" xfId="0" applyBorder="1"/>
    <xf numFmtId="0" fontId="0" fillId="0" borderId="0" xfId="0"/>
    <xf numFmtId="0" fontId="13" fillId="0" borderId="0" xfId="0" applyFont="1" applyFill="1"/>
    <xf numFmtId="0" fontId="0" fillId="0" borderId="22" xfId="0" applyBorder="1" applyAlignment="1">
      <alignment wrapText="1"/>
    </xf>
    <xf numFmtId="0" fontId="0" fillId="0" borderId="0" xfId="0"/>
    <xf numFmtId="0" fontId="0" fillId="12" borderId="0" xfId="0" applyFill="1"/>
    <xf numFmtId="3" fontId="37" fillId="0" borderId="37" xfId="4" applyNumberFormat="1" applyFont="1" applyBorder="1" applyAlignment="1">
      <alignment vertical="center"/>
    </xf>
    <xf numFmtId="3" fontId="38" fillId="10" borderId="37" xfId="2" applyNumberFormat="1" applyFont="1" applyFill="1" applyBorder="1"/>
    <xf numFmtId="3" fontId="38" fillId="9" borderId="37" xfId="2" applyNumberFormat="1" applyFont="1" applyFill="1" applyBorder="1"/>
    <xf numFmtId="3" fontId="37" fillId="6" borderId="37" xfId="2" applyNumberFormat="1" applyFont="1" applyFill="1" applyBorder="1"/>
    <xf numFmtId="3" fontId="37" fillId="47" borderId="37" xfId="2" applyNumberFormat="1" applyFont="1" applyFill="1" applyBorder="1"/>
    <xf numFmtId="3" fontId="38" fillId="14" borderId="37" xfId="2" applyNumberFormat="1" applyFont="1" applyFill="1" applyBorder="1"/>
    <xf numFmtId="3" fontId="37" fillId="10" borderId="37" xfId="4" applyNumberFormat="1" applyFont="1" applyFill="1" applyBorder="1" applyAlignment="1">
      <alignment vertical="center"/>
    </xf>
    <xf numFmtId="3" fontId="37" fillId="9" borderId="37" xfId="2" applyNumberFormat="1" applyFont="1" applyFill="1" applyBorder="1"/>
    <xf numFmtId="3" fontId="37" fillId="10" borderId="37" xfId="2" applyNumberFormat="1" applyFont="1" applyFill="1" applyBorder="1"/>
    <xf numFmtId="3" fontId="37" fillId="14" borderId="37" xfId="2" applyNumberFormat="1" applyFont="1" applyFill="1" applyBorder="1"/>
    <xf numFmtId="3" fontId="38" fillId="6" borderId="37" xfId="2" applyNumberFormat="1" applyFont="1" applyFill="1" applyBorder="1"/>
    <xf numFmtId="3" fontId="38" fillId="47" borderId="37" xfId="2" applyNumberFormat="1" applyFont="1" applyFill="1" applyBorder="1"/>
    <xf numFmtId="3" fontId="37" fillId="0" borderId="38" xfId="3" applyNumberFormat="1" applyFont="1" applyBorder="1" applyAlignment="1">
      <alignment vertical="center"/>
    </xf>
    <xf numFmtId="3" fontId="37" fillId="11" borderId="38" xfId="3" applyNumberFormat="1" applyFont="1" applyFill="1" applyBorder="1" applyAlignment="1">
      <alignment vertical="center"/>
    </xf>
    <xf numFmtId="3" fontId="37" fillId="0" borderId="38" xfId="4" applyNumberFormat="1" applyFont="1" applyBorder="1" applyAlignment="1">
      <alignment vertical="center"/>
    </xf>
    <xf numFmtId="3" fontId="37" fillId="0" borderId="39" xfId="4" applyNumberFormat="1" applyFont="1" applyBorder="1" applyAlignment="1">
      <alignment vertical="center"/>
    </xf>
    <xf numFmtId="3" fontId="38" fillId="10" borderId="39" xfId="2" applyNumberFormat="1" applyFont="1" applyFill="1" applyBorder="1"/>
    <xf numFmtId="3" fontId="37" fillId="9" borderId="39" xfId="2" applyNumberFormat="1" applyFont="1" applyFill="1" applyBorder="1"/>
    <xf numFmtId="3" fontId="38" fillId="9" borderId="39" xfId="2" applyNumberFormat="1" applyFont="1" applyFill="1" applyBorder="1"/>
    <xf numFmtId="3" fontId="37" fillId="10" borderId="39" xfId="2" applyNumberFormat="1" applyFont="1" applyFill="1" applyBorder="1"/>
    <xf numFmtId="3" fontId="37" fillId="6" borderId="39" xfId="2" applyNumberFormat="1" applyFont="1" applyFill="1" applyBorder="1"/>
    <xf numFmtId="3" fontId="38" fillId="6" borderId="39" xfId="2" applyNumberFormat="1" applyFont="1" applyFill="1" applyBorder="1"/>
    <xf numFmtId="3" fontId="37" fillId="47" borderId="39" xfId="2" applyNumberFormat="1" applyFont="1" applyFill="1" applyBorder="1"/>
    <xf numFmtId="3" fontId="38" fillId="47" borderId="39" xfId="2" applyNumberFormat="1" applyFont="1" applyFill="1" applyBorder="1"/>
    <xf numFmtId="3" fontId="37" fillId="10" borderId="40" xfId="4" applyNumberFormat="1" applyFont="1" applyFill="1" applyBorder="1" applyAlignment="1">
      <alignment vertical="center"/>
    </xf>
    <xf numFmtId="3" fontId="37" fillId="0" borderId="7" xfId="3" applyNumberFormat="1" applyFont="1" applyBorder="1" applyAlignment="1">
      <alignment vertical="center"/>
    </xf>
    <xf numFmtId="3" fontId="37" fillId="0" borderId="42" xfId="4" applyNumberFormat="1" applyFont="1" applyBorder="1" applyAlignment="1">
      <alignment vertical="center"/>
    </xf>
    <xf numFmtId="3" fontId="37" fillId="0" borderId="43" xfId="4" applyNumberFormat="1" applyFont="1" applyBorder="1" applyAlignment="1">
      <alignment vertical="center"/>
    </xf>
    <xf numFmtId="3" fontId="38" fillId="10" borderId="42" xfId="2" applyNumberFormat="1" applyFont="1" applyFill="1" applyBorder="1"/>
    <xf numFmtId="3" fontId="38" fillId="10" borderId="43" xfId="2" applyNumberFormat="1" applyFont="1" applyFill="1" applyBorder="1"/>
    <xf numFmtId="3" fontId="38" fillId="9" borderId="42" xfId="2" applyNumberFormat="1" applyFont="1" applyFill="1" applyBorder="1"/>
    <xf numFmtId="3" fontId="38" fillId="9" borderId="43" xfId="2" applyNumberFormat="1" applyFont="1" applyFill="1" applyBorder="1"/>
    <xf numFmtId="3" fontId="37" fillId="6" borderId="42" xfId="2" applyNumberFormat="1" applyFont="1" applyFill="1" applyBorder="1"/>
    <xf numFmtId="3" fontId="37" fillId="6" borderId="43" xfId="2" applyNumberFormat="1" applyFont="1" applyFill="1" applyBorder="1"/>
    <xf numFmtId="3" fontId="37" fillId="47" borderId="42" xfId="2" applyNumberFormat="1" applyFont="1" applyFill="1" applyBorder="1"/>
    <xf numFmtId="3" fontId="37" fillId="47" borderId="43" xfId="2" applyNumberFormat="1" applyFont="1" applyFill="1" applyBorder="1"/>
    <xf numFmtId="3" fontId="37" fillId="0" borderId="3" xfId="4" applyNumberFormat="1" applyFont="1" applyBorder="1" applyAlignment="1">
      <alignment vertical="center"/>
    </xf>
    <xf numFmtId="3" fontId="37" fillId="0" borderId="45" xfId="4" applyNumberFormat="1" applyFont="1" applyBorder="1" applyAlignment="1">
      <alignment vertical="center"/>
    </xf>
    <xf numFmtId="3" fontId="37" fillId="0" borderId="41" xfId="4" applyNumberFormat="1" applyFont="1" applyBorder="1" applyAlignment="1">
      <alignment vertical="center"/>
    </xf>
    <xf numFmtId="3" fontId="38" fillId="10" borderId="45" xfId="2" applyNumberFormat="1" applyFont="1" applyFill="1" applyBorder="1"/>
    <xf numFmtId="3" fontId="38" fillId="10" borderId="41" xfId="2" applyNumberFormat="1" applyFont="1" applyFill="1" applyBorder="1"/>
    <xf numFmtId="3" fontId="38" fillId="9" borderId="45" xfId="2" applyNumberFormat="1" applyFont="1" applyFill="1" applyBorder="1"/>
    <xf numFmtId="3" fontId="38" fillId="9" borderId="41" xfId="2" applyNumberFormat="1" applyFont="1" applyFill="1" applyBorder="1"/>
    <xf numFmtId="3" fontId="37" fillId="10" borderId="45" xfId="2" applyNumberFormat="1" applyFont="1" applyFill="1" applyBorder="1"/>
    <xf numFmtId="3" fontId="37" fillId="10" borderId="41" xfId="2" applyNumberFormat="1" applyFont="1" applyFill="1" applyBorder="1"/>
    <xf numFmtId="3" fontId="37" fillId="9" borderId="45" xfId="2" applyNumberFormat="1" applyFont="1" applyFill="1" applyBorder="1"/>
    <xf numFmtId="3" fontId="37" fillId="9" borderId="41" xfId="2" applyNumberFormat="1" applyFont="1" applyFill="1" applyBorder="1"/>
    <xf numFmtId="3" fontId="37" fillId="6" borderId="45" xfId="2" applyNumberFormat="1" applyFont="1" applyFill="1" applyBorder="1"/>
    <xf numFmtId="3" fontId="37" fillId="6" borderId="41" xfId="2" applyNumberFormat="1" applyFont="1" applyFill="1" applyBorder="1"/>
    <xf numFmtId="3" fontId="37" fillId="47" borderId="45" xfId="2" applyNumberFormat="1" applyFont="1" applyFill="1" applyBorder="1"/>
    <xf numFmtId="3" fontId="37" fillId="47" borderId="41" xfId="2" applyNumberFormat="1" applyFont="1" applyFill="1" applyBorder="1"/>
    <xf numFmtId="3" fontId="37" fillId="14" borderId="41" xfId="2" applyNumberFormat="1" applyFont="1" applyFill="1" applyBorder="1"/>
    <xf numFmtId="3" fontId="39" fillId="12" borderId="8" xfId="3" applyNumberFormat="1" applyFont="1" applyFill="1" applyBorder="1" applyAlignment="1">
      <alignment vertical="center"/>
    </xf>
    <xf numFmtId="3" fontId="39" fillId="12" borderId="10" xfId="1" applyNumberFormat="1" applyFont="1" applyFill="1" applyBorder="1" applyAlignment="1">
      <alignment vertical="center"/>
    </xf>
    <xf numFmtId="3" fontId="39" fillId="12" borderId="36" xfId="1" applyNumberFormat="1" applyFont="1" applyFill="1" applyBorder="1" applyAlignment="1">
      <alignment vertical="center"/>
    </xf>
    <xf numFmtId="3" fontId="39" fillId="12" borderId="35" xfId="1" applyNumberFormat="1" applyFont="1" applyFill="1" applyBorder="1" applyAlignment="1">
      <alignment vertical="center"/>
    </xf>
    <xf numFmtId="3" fontId="40" fillId="4" borderId="8" xfId="0" applyNumberFormat="1" applyFont="1" applyFill="1" applyBorder="1" applyAlignment="1">
      <alignment vertical="center" wrapText="1"/>
    </xf>
    <xf numFmtId="3" fontId="40" fillId="3" borderId="10" xfId="0" applyNumberFormat="1" applyFont="1" applyFill="1" applyBorder="1" applyAlignment="1">
      <alignment horizontal="center" vertical="center" wrapText="1"/>
    </xf>
    <xf numFmtId="3" fontId="40" fillId="3" borderId="36" xfId="0" applyNumberFormat="1" applyFont="1" applyFill="1" applyBorder="1" applyAlignment="1">
      <alignment horizontal="center" vertical="center" wrapText="1"/>
    </xf>
    <xf numFmtId="3" fontId="40" fillId="5" borderId="10" xfId="0" applyNumberFormat="1" applyFont="1" applyFill="1" applyBorder="1" applyAlignment="1">
      <alignment horizontal="center" vertical="center" wrapText="1"/>
    </xf>
    <xf numFmtId="3" fontId="40" fillId="5" borderId="36" xfId="0" applyNumberFormat="1" applyFont="1" applyFill="1" applyBorder="1" applyAlignment="1">
      <alignment horizontal="center" vertical="center" wrapText="1"/>
    </xf>
    <xf numFmtId="3" fontId="40" fillId="5" borderId="35" xfId="0" applyNumberFormat="1" applyFont="1" applyFill="1" applyBorder="1" applyAlignment="1">
      <alignment horizontal="center" vertical="center" wrapText="1"/>
    </xf>
    <xf numFmtId="3" fontId="40" fillId="6" borderId="36" xfId="0" applyNumberFormat="1" applyFont="1" applyFill="1" applyBorder="1" applyAlignment="1">
      <alignment horizontal="center" vertical="center" wrapText="1"/>
    </xf>
    <xf numFmtId="3" fontId="40" fillId="7" borderId="36" xfId="0" applyNumberFormat="1" applyFont="1" applyFill="1" applyBorder="1" applyAlignment="1">
      <alignment horizontal="center" vertical="center" wrapText="1"/>
    </xf>
    <xf numFmtId="3" fontId="40" fillId="8" borderId="36" xfId="0" applyNumberFormat="1" applyFont="1" applyFill="1" applyBorder="1" applyAlignment="1">
      <alignment horizontal="center" vertical="center" wrapText="1"/>
    </xf>
    <xf numFmtId="3" fontId="40" fillId="15" borderId="36" xfId="0" applyNumberFormat="1" applyFont="1" applyFill="1" applyBorder="1" applyAlignment="1">
      <alignment horizontal="center" vertical="center" wrapText="1"/>
    </xf>
    <xf numFmtId="3" fontId="40" fillId="16" borderId="36" xfId="0" applyNumberFormat="1" applyFont="1" applyFill="1" applyBorder="1" applyAlignment="1">
      <alignment horizontal="center" vertical="center" wrapText="1"/>
    </xf>
    <xf numFmtId="3" fontId="40" fillId="13" borderId="36" xfId="0" applyNumberFormat="1" applyFont="1" applyFill="1" applyBorder="1" applyAlignment="1">
      <alignment horizontal="center" vertical="center" wrapText="1"/>
    </xf>
    <xf numFmtId="0" fontId="4" fillId="0" borderId="16" xfId="0" applyFont="1" applyBorder="1"/>
    <xf numFmtId="10" fontId="0" fillId="4" borderId="16" xfId="0" applyNumberFormat="1" applyFill="1" applyBorder="1"/>
    <xf numFmtId="10" fontId="0" fillId="4" borderId="24" xfId="0" applyNumberFormat="1" applyFill="1" applyBorder="1"/>
    <xf numFmtId="0" fontId="0" fillId="4" borderId="19" xfId="0" applyFill="1" applyBorder="1" applyAlignment="1">
      <alignment horizontal="center"/>
    </xf>
    <xf numFmtId="0" fontId="0" fillId="4" borderId="22" xfId="0" applyFill="1" applyBorder="1"/>
    <xf numFmtId="0" fontId="0" fillId="4" borderId="0" xfId="0" applyFill="1" applyBorder="1"/>
    <xf numFmtId="0" fontId="0" fillId="4" borderId="16" xfId="0" applyFill="1" applyBorder="1"/>
    <xf numFmtId="0" fontId="0" fillId="4" borderId="23" xfId="0" applyFill="1" applyBorder="1"/>
    <xf numFmtId="0" fontId="0" fillId="4" borderId="20" xfId="0" applyFill="1" applyBorder="1"/>
    <xf numFmtId="3" fontId="0" fillId="4" borderId="19" xfId="0" applyNumberFormat="1" applyFill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0" fontId="0" fillId="4" borderId="46" xfId="0" applyFill="1" applyBorder="1"/>
    <xf numFmtId="0" fontId="0" fillId="4" borderId="47" xfId="0" applyFill="1" applyBorder="1"/>
    <xf numFmtId="10" fontId="0" fillId="4" borderId="48" xfId="0" applyNumberFormat="1" applyFill="1" applyBorder="1"/>
    <xf numFmtId="0" fontId="0" fillId="4" borderId="48" xfId="0" applyFill="1" applyBorder="1"/>
    <xf numFmtId="0" fontId="7" fillId="0" borderId="21" xfId="0" applyFont="1" applyBorder="1"/>
    <xf numFmtId="0" fontId="0" fillId="0" borderId="23" xfId="0" applyBorder="1"/>
    <xf numFmtId="0" fontId="6" fillId="0" borderId="46" xfId="0" applyFont="1" applyBorder="1" applyAlignment="1">
      <alignment horizontal="justify" vertical="center"/>
    </xf>
    <xf numFmtId="0" fontId="0" fillId="4" borderId="2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38" xfId="0" applyBorder="1"/>
    <xf numFmtId="0" fontId="0" fillId="0" borderId="46" xfId="0" applyBorder="1"/>
    <xf numFmtId="0" fontId="0" fillId="5" borderId="38" xfId="0" applyFill="1" applyBorder="1"/>
    <xf numFmtId="0" fontId="0" fillId="0" borderId="49" xfId="0" applyFill="1" applyBorder="1"/>
    <xf numFmtId="0" fontId="0" fillId="5" borderId="52" xfId="0" applyFill="1" applyBorder="1"/>
    <xf numFmtId="0" fontId="0" fillId="4" borderId="0" xfId="0" applyFill="1"/>
    <xf numFmtId="0" fontId="0" fillId="0" borderId="0" xfId="0" applyBorder="1"/>
    <xf numFmtId="3" fontId="37" fillId="14" borderId="43" xfId="2" applyNumberFormat="1" applyFont="1" applyFill="1" applyBorder="1"/>
    <xf numFmtId="3" fontId="37" fillId="10" borderId="43" xfId="2" applyNumberFormat="1" applyFont="1" applyFill="1" applyBorder="1"/>
    <xf numFmtId="3" fontId="0" fillId="4" borderId="50" xfId="0" applyNumberFormat="1" applyFill="1" applyBorder="1" applyAlignment="1">
      <alignment horizontal="right"/>
    </xf>
    <xf numFmtId="10" fontId="0" fillId="4" borderId="51" xfId="0" applyNumberFormat="1" applyFill="1" applyBorder="1"/>
    <xf numFmtId="3" fontId="0" fillId="4" borderId="50" xfId="0" applyNumberFormat="1" applyFill="1" applyBorder="1"/>
    <xf numFmtId="0" fontId="0" fillId="0" borderId="37" xfId="0" applyBorder="1"/>
    <xf numFmtId="0" fontId="0" fillId="0" borderId="53" xfId="0" applyBorder="1"/>
    <xf numFmtId="0" fontId="0" fillId="4" borderId="53" xfId="0" applyFill="1" applyBorder="1"/>
    <xf numFmtId="0" fontId="0" fillId="4" borderId="43" xfId="0" applyFill="1" applyBorder="1"/>
    <xf numFmtId="0" fontId="0" fillId="0" borderId="43" xfId="0" applyBorder="1"/>
    <xf numFmtId="0" fontId="0" fillId="0" borderId="53" xfId="0" applyBorder="1" applyAlignment="1">
      <alignment horizontal="right"/>
    </xf>
    <xf numFmtId="3" fontId="40" fillId="6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3" fontId="40" fillId="8" borderId="10" xfId="0" applyNumberFormat="1" applyFont="1" applyFill="1" applyBorder="1" applyAlignment="1">
      <alignment horizontal="center" vertical="center" wrapText="1"/>
    </xf>
    <xf numFmtId="3" fontId="40" fillId="15" borderId="10" xfId="0" applyNumberFormat="1" applyFont="1" applyFill="1" applyBorder="1" applyAlignment="1">
      <alignment horizontal="center" vertical="center" wrapText="1"/>
    </xf>
    <xf numFmtId="3" fontId="37" fillId="10" borderId="42" xfId="2" applyNumberFormat="1" applyFont="1" applyFill="1" applyBorder="1"/>
    <xf numFmtId="3" fontId="37" fillId="10" borderId="44" xfId="2" applyNumberFormat="1" applyFont="1" applyFill="1" applyBorder="1"/>
    <xf numFmtId="3" fontId="37" fillId="10" borderId="54" xfId="2" applyNumberFormat="1" applyFont="1" applyFill="1" applyBorder="1"/>
    <xf numFmtId="3" fontId="37" fillId="10" borderId="55" xfId="2" applyNumberFormat="1" applyFont="1" applyFill="1" applyBorder="1"/>
    <xf numFmtId="3" fontId="37" fillId="10" borderId="55" xfId="4" applyNumberFormat="1" applyFont="1" applyFill="1" applyBorder="1" applyAlignment="1">
      <alignment vertical="center"/>
    </xf>
    <xf numFmtId="3" fontId="37" fillId="10" borderId="56" xfId="4" applyNumberFormat="1" applyFont="1" applyFill="1" applyBorder="1" applyAlignment="1">
      <alignment vertical="center"/>
    </xf>
    <xf numFmtId="0" fontId="0" fillId="0" borderId="41" xfId="0" applyFill="1" applyBorder="1"/>
    <xf numFmtId="0" fontId="4" fillId="0" borderId="0" xfId="0" applyFont="1"/>
    <xf numFmtId="0" fontId="36" fillId="0" borderId="0" xfId="0" applyFont="1" applyAlignment="1">
      <alignment horizontal="left" vertical="center"/>
    </xf>
    <xf numFmtId="3" fontId="0" fillId="5" borderId="0" xfId="0" applyNumberFormat="1" applyFill="1"/>
    <xf numFmtId="3" fontId="38" fillId="10" borderId="57" xfId="2" applyNumberFormat="1" applyFont="1" applyFill="1" applyBorder="1"/>
    <xf numFmtId="3" fontId="38" fillId="10" borderId="58" xfId="2" applyNumberFormat="1" applyFont="1" applyFill="1" applyBorder="1"/>
    <xf numFmtId="3" fontId="39" fillId="12" borderId="11" xfId="1" applyNumberFormat="1" applyFont="1" applyFill="1" applyBorder="1" applyAlignment="1">
      <alignment vertical="center"/>
    </xf>
    <xf numFmtId="3" fontId="40" fillId="3" borderId="12" xfId="0" applyNumberFormat="1" applyFont="1" applyFill="1" applyBorder="1" applyAlignment="1">
      <alignment horizontal="center" vertical="center" wrapText="1"/>
    </xf>
    <xf numFmtId="3" fontId="37" fillId="0" borderId="19" xfId="4" applyNumberFormat="1" applyFont="1" applyBorder="1" applyAlignment="1">
      <alignment vertical="center"/>
    </xf>
    <xf numFmtId="3" fontId="37" fillId="0" borderId="47" xfId="4" applyNumberFormat="1" applyFont="1" applyBorder="1" applyAlignment="1">
      <alignment vertical="center"/>
    </xf>
    <xf numFmtId="3" fontId="37" fillId="0" borderId="20" xfId="4" applyNumberFormat="1" applyFont="1" applyBorder="1" applyAlignment="1">
      <alignment vertical="center"/>
    </xf>
    <xf numFmtId="3" fontId="39" fillId="12" borderId="12" xfId="1" applyNumberFormat="1" applyFont="1" applyFill="1" applyBorder="1" applyAlignment="1">
      <alignment horizontal="right" vertical="center"/>
    </xf>
    <xf numFmtId="3" fontId="38" fillId="10" borderId="19" xfId="2" applyNumberFormat="1" applyFont="1" applyFill="1" applyBorder="1"/>
    <xf numFmtId="3" fontId="38" fillId="10" borderId="47" xfId="2" applyNumberFormat="1" applyFont="1" applyFill="1" applyBorder="1"/>
    <xf numFmtId="3" fontId="38" fillId="10" borderId="20" xfId="2" applyNumberFormat="1" applyFont="1" applyFill="1" applyBorder="1"/>
    <xf numFmtId="3" fontId="39" fillId="12" borderId="12" xfId="1" applyNumberFormat="1" applyFont="1" applyFill="1" applyBorder="1" applyAlignment="1">
      <alignment vertical="center"/>
    </xf>
    <xf numFmtId="3" fontId="39" fillId="12" borderId="36" xfId="1" applyNumberFormat="1" applyFont="1" applyFill="1" applyBorder="1" applyAlignment="1">
      <alignment horizontal="right" vertical="center"/>
    </xf>
    <xf numFmtId="3" fontId="38" fillId="9" borderId="19" xfId="2" applyNumberFormat="1" applyFont="1" applyFill="1" applyBorder="1"/>
    <xf numFmtId="3" fontId="37" fillId="9" borderId="47" xfId="2" applyNumberFormat="1" applyFont="1" applyFill="1" applyBorder="1"/>
    <xf numFmtId="3" fontId="38" fillId="9" borderId="47" xfId="2" applyNumberFormat="1" applyFont="1" applyFill="1" applyBorder="1"/>
    <xf numFmtId="3" fontId="38" fillId="9" borderId="20" xfId="2" applyNumberFormat="1" applyFont="1" applyFill="1" applyBorder="1"/>
    <xf numFmtId="0" fontId="0" fillId="12" borderId="60" xfId="0" applyFill="1" applyBorder="1"/>
    <xf numFmtId="3" fontId="38" fillId="9" borderId="57" xfId="2" applyNumberFormat="1" applyFont="1" applyFill="1" applyBorder="1"/>
    <xf numFmtId="3" fontId="37" fillId="9" borderId="58" xfId="2" applyNumberFormat="1" applyFont="1" applyFill="1" applyBorder="1"/>
    <xf numFmtId="3" fontId="38" fillId="9" borderId="58" xfId="2" applyNumberFormat="1" applyFont="1" applyFill="1" applyBorder="1"/>
    <xf numFmtId="3" fontId="38" fillId="9" borderId="59" xfId="2" applyNumberFormat="1" applyFont="1" applyFill="1" applyBorder="1"/>
    <xf numFmtId="0" fontId="0" fillId="0" borderId="60" xfId="0" applyBorder="1"/>
    <xf numFmtId="3" fontId="37" fillId="10" borderId="47" xfId="2" applyNumberFormat="1" applyFont="1" applyFill="1" applyBorder="1"/>
    <xf numFmtId="3" fontId="37" fillId="10" borderId="20" xfId="2" applyNumberFormat="1" applyFont="1" applyFill="1" applyBorder="1"/>
    <xf numFmtId="3" fontId="40" fillId="7" borderId="17" xfId="0" applyNumberFormat="1" applyFont="1" applyFill="1" applyBorder="1" applyAlignment="1">
      <alignment horizontal="center" vertical="center" wrapText="1"/>
    </xf>
    <xf numFmtId="3" fontId="40" fillId="7" borderId="11" xfId="0" applyNumberFormat="1" applyFont="1" applyFill="1" applyBorder="1" applyAlignment="1">
      <alignment horizontal="center" vertical="center" wrapText="1"/>
    </xf>
    <xf numFmtId="3" fontId="37" fillId="10" borderId="58" xfId="2" applyNumberFormat="1" applyFont="1" applyFill="1" applyBorder="1"/>
    <xf numFmtId="3" fontId="37" fillId="10" borderId="59" xfId="2" applyNumberFormat="1" applyFont="1" applyFill="1" applyBorder="1"/>
    <xf numFmtId="3" fontId="37" fillId="9" borderId="20" xfId="2" applyNumberFormat="1" applyFont="1" applyFill="1" applyBorder="1"/>
    <xf numFmtId="3" fontId="37" fillId="9" borderId="59" xfId="2" applyNumberFormat="1" applyFont="1" applyFill="1" applyBorder="1"/>
    <xf numFmtId="3" fontId="37" fillId="6" borderId="19" xfId="2" applyNumberFormat="1" applyFont="1" applyFill="1" applyBorder="1"/>
    <xf numFmtId="3" fontId="37" fillId="6" borderId="47" xfId="2" applyNumberFormat="1" applyFont="1" applyFill="1" applyBorder="1"/>
    <xf numFmtId="3" fontId="38" fillId="6" borderId="47" xfId="2" applyNumberFormat="1" applyFont="1" applyFill="1" applyBorder="1"/>
    <xf numFmtId="3" fontId="37" fillId="6" borderId="20" xfId="2" applyNumberFormat="1" applyFont="1" applyFill="1" applyBorder="1"/>
    <xf numFmtId="3" fontId="37" fillId="6" borderId="57" xfId="2" applyNumberFormat="1" applyFont="1" applyFill="1" applyBorder="1"/>
    <xf numFmtId="3" fontId="37" fillId="6" borderId="58" xfId="2" applyNumberFormat="1" applyFont="1" applyFill="1" applyBorder="1"/>
    <xf numFmtId="3" fontId="38" fillId="6" borderId="58" xfId="2" applyNumberFormat="1" applyFont="1" applyFill="1" applyBorder="1"/>
    <xf numFmtId="3" fontId="37" fillId="6" borderId="59" xfId="2" applyNumberFormat="1" applyFont="1" applyFill="1" applyBorder="1"/>
    <xf numFmtId="3" fontId="37" fillId="47" borderId="57" xfId="2" applyNumberFormat="1" applyFont="1" applyFill="1" applyBorder="1"/>
    <xf numFmtId="3" fontId="37" fillId="47" borderId="58" xfId="2" applyNumberFormat="1" applyFont="1" applyFill="1" applyBorder="1"/>
    <xf numFmtId="3" fontId="38" fillId="47" borderId="58" xfId="2" applyNumberFormat="1" applyFont="1" applyFill="1" applyBorder="1"/>
    <xf numFmtId="3" fontId="37" fillId="47" borderId="59" xfId="2" applyNumberFormat="1" applyFont="1" applyFill="1" applyBorder="1"/>
    <xf numFmtId="3" fontId="37" fillId="14" borderId="57" xfId="2" applyNumberFormat="1" applyFont="1" applyFill="1" applyBorder="1"/>
    <xf numFmtId="3" fontId="37" fillId="14" borderId="47" xfId="2" applyNumberFormat="1" applyFont="1" applyFill="1" applyBorder="1"/>
    <xf numFmtId="3" fontId="38" fillId="14" borderId="47" xfId="2" applyNumberFormat="1" applyFont="1" applyFill="1" applyBorder="1"/>
    <xf numFmtId="3" fontId="37" fillId="14" borderId="20" xfId="2" applyNumberFormat="1" applyFont="1" applyFill="1" applyBorder="1"/>
    <xf numFmtId="3" fontId="37" fillId="14" borderId="58" xfId="2" applyNumberFormat="1" applyFont="1" applyFill="1" applyBorder="1"/>
    <xf numFmtId="3" fontId="38" fillId="14" borderId="58" xfId="2" applyNumberFormat="1" applyFont="1" applyFill="1" applyBorder="1"/>
    <xf numFmtId="3" fontId="37" fillId="14" borderId="59" xfId="2" applyNumberFormat="1" applyFont="1" applyFill="1" applyBorder="1"/>
    <xf numFmtId="3" fontId="0" fillId="0" borderId="0" xfId="0" applyNumberFormat="1"/>
    <xf numFmtId="0" fontId="4" fillId="0" borderId="21" xfId="0" applyFont="1" applyBorder="1"/>
    <xf numFmtId="0" fontId="4" fillId="0" borderId="19" xfId="0" applyFont="1" applyBorder="1"/>
    <xf numFmtId="0" fontId="4" fillId="0" borderId="25" xfId="0" applyFont="1" applyBorder="1"/>
    <xf numFmtId="3" fontId="0" fillId="4" borderId="46" xfId="0" applyNumberFormat="1" applyFill="1" applyBorder="1"/>
    <xf numFmtId="3" fontId="0" fillId="4" borderId="47" xfId="0" applyNumberFormat="1" applyFill="1" applyBorder="1"/>
    <xf numFmtId="3" fontId="0" fillId="4" borderId="48" xfId="0" applyNumberFormat="1" applyFill="1" applyBorder="1"/>
    <xf numFmtId="0" fontId="0" fillId="5" borderId="1" xfId="0" applyFill="1" applyBorder="1"/>
    <xf numFmtId="0" fontId="36" fillId="4" borderId="46" xfId="0" applyFont="1" applyFill="1" applyBorder="1"/>
    <xf numFmtId="0" fontId="0" fillId="4" borderId="5" xfId="0" applyFill="1" applyBorder="1" applyAlignment="1">
      <alignment horizontal="center"/>
    </xf>
    <xf numFmtId="0" fontId="0" fillId="4" borderId="14" xfId="0" applyFill="1" applyBorder="1"/>
    <xf numFmtId="3" fontId="0" fillId="4" borderId="47" xfId="0" applyNumberFormat="1" applyFill="1" applyBorder="1" applyAlignment="1">
      <alignment horizontal="right"/>
    </xf>
    <xf numFmtId="3" fontId="0" fillId="4" borderId="22" xfId="0" applyNumberFormat="1" applyFill="1" applyBorder="1"/>
    <xf numFmtId="3" fontId="0" fillId="4" borderId="0" xfId="0" applyNumberFormat="1" applyFill="1" applyBorder="1" applyAlignment="1">
      <alignment horizontal="right"/>
    </xf>
    <xf numFmtId="0" fontId="0" fillId="4" borderId="49" xfId="0" applyFill="1" applyBorder="1"/>
    <xf numFmtId="3" fontId="0" fillId="4" borderId="0" xfId="0" applyNumberFormat="1" applyFill="1" applyBorder="1"/>
    <xf numFmtId="3" fontId="0" fillId="4" borderId="49" xfId="0" applyNumberFormat="1" applyFill="1" applyBorder="1"/>
    <xf numFmtId="10" fontId="0" fillId="4" borderId="23" xfId="0" applyNumberFormat="1" applyFill="1" applyBorder="1"/>
    <xf numFmtId="10" fontId="0" fillId="4" borderId="20" xfId="0" applyNumberFormat="1" applyFill="1" applyBorder="1"/>
    <xf numFmtId="3" fontId="0" fillId="4" borderId="21" xfId="0" applyNumberFormat="1" applyFill="1" applyBorder="1"/>
    <xf numFmtId="3" fontId="0" fillId="4" borderId="19" xfId="0" applyNumberFormat="1" applyFill="1" applyBorder="1"/>
    <xf numFmtId="3" fontId="0" fillId="4" borderId="25" xfId="0" applyNumberFormat="1" applyFill="1" applyBorder="1"/>
    <xf numFmtId="3" fontId="0" fillId="4" borderId="16" xfId="0" applyNumberFormat="1" applyFill="1" applyBorder="1"/>
    <xf numFmtId="3" fontId="0" fillId="4" borderId="5" xfId="0" applyNumberFormat="1" applyFill="1" applyBorder="1"/>
    <xf numFmtId="3" fontId="0" fillId="4" borderId="14" xfId="0" applyNumberFormat="1" applyFill="1" applyBorder="1"/>
    <xf numFmtId="3" fontId="0" fillId="4" borderId="15" xfId="0" applyNumberFormat="1" applyFill="1" applyBorder="1"/>
    <xf numFmtId="10" fontId="0" fillId="4" borderId="25" xfId="0" applyNumberFormat="1" applyFill="1" applyBorder="1"/>
    <xf numFmtId="10" fontId="0" fillId="4" borderId="15" xfId="0" applyNumberFormat="1" applyFill="1" applyBorder="1"/>
    <xf numFmtId="10" fontId="0" fillId="4" borderId="0" xfId="0" applyNumberFormat="1" applyFill="1" applyBorder="1"/>
    <xf numFmtId="10" fontId="0" fillId="4" borderId="47" xfId="0" applyNumberFormat="1" applyFill="1" applyBorder="1"/>
    <xf numFmtId="10" fontId="0" fillId="4" borderId="41" xfId="0" applyNumberFormat="1" applyFill="1" applyBorder="1"/>
    <xf numFmtId="3" fontId="0" fillId="4" borderId="43" xfId="0" applyNumberFormat="1" applyFill="1" applyBorder="1"/>
    <xf numFmtId="3" fontId="0" fillId="4" borderId="53" xfId="0" applyNumberFormat="1" applyFill="1" applyBorder="1"/>
    <xf numFmtId="0" fontId="0" fillId="4" borderId="43" xfId="0" applyFill="1" applyBorder="1" applyAlignment="1">
      <alignment horizontal="center"/>
    </xf>
    <xf numFmtId="10" fontId="0" fillId="4" borderId="53" xfId="0" applyNumberFormat="1" applyFill="1" applyBorder="1"/>
    <xf numFmtId="10" fontId="0" fillId="4" borderId="37" xfId="0" applyNumberFormat="1" applyFill="1" applyBorder="1"/>
    <xf numFmtId="3" fontId="0" fillId="4" borderId="61" xfId="0" applyNumberFormat="1" applyFill="1" applyBorder="1"/>
    <xf numFmtId="3" fontId="40" fillId="5" borderId="11" xfId="0" applyNumberFormat="1" applyFont="1" applyFill="1" applyBorder="1" applyAlignment="1">
      <alignment horizontal="center" vertical="center" wrapText="1"/>
    </xf>
    <xf numFmtId="3" fontId="37" fillId="10" borderId="57" xfId="2" applyNumberFormat="1" applyFont="1" applyFill="1" applyBorder="1"/>
    <xf numFmtId="3" fontId="37" fillId="10" borderId="58" xfId="4" applyNumberFormat="1" applyFont="1" applyFill="1" applyBorder="1" applyAlignment="1">
      <alignment vertical="center"/>
    </xf>
    <xf numFmtId="3" fontId="37" fillId="10" borderId="62" xfId="4" applyNumberFormat="1" applyFont="1" applyFill="1" applyBorder="1" applyAlignment="1">
      <alignment vertical="center"/>
    </xf>
    <xf numFmtId="0" fontId="0" fillId="4" borderId="15" xfId="0" applyFill="1" applyBorder="1"/>
    <xf numFmtId="3" fontId="40" fillId="15" borderId="63" xfId="0" applyNumberFormat="1" applyFont="1" applyFill="1" applyBorder="1" applyAlignment="1">
      <alignment horizontal="center" vertical="center" wrapText="1"/>
    </xf>
    <xf numFmtId="3" fontId="40" fillId="13" borderId="11" xfId="0" applyNumberFormat="1" applyFont="1" applyFill="1" applyBorder="1" applyAlignment="1">
      <alignment horizontal="center" vertical="center" wrapText="1"/>
    </xf>
    <xf numFmtId="3" fontId="40" fillId="16" borderId="10" xfId="0" applyNumberFormat="1" applyFont="1" applyFill="1" applyBorder="1" applyAlignment="1">
      <alignment horizontal="center" vertical="center" wrapText="1"/>
    </xf>
    <xf numFmtId="3" fontId="40" fillId="16" borderId="35" xfId="0" applyNumberFormat="1" applyFont="1" applyFill="1" applyBorder="1" applyAlignment="1">
      <alignment horizontal="center" vertical="center" wrapText="1"/>
    </xf>
    <xf numFmtId="3" fontId="37" fillId="47" borderId="25" xfId="2" applyNumberFormat="1" applyFont="1" applyFill="1" applyBorder="1"/>
    <xf numFmtId="3" fontId="37" fillId="47" borderId="48" xfId="2" applyNumberFormat="1" applyFont="1" applyFill="1" applyBorder="1"/>
    <xf numFmtId="3" fontId="38" fillId="47" borderId="48" xfId="2" applyNumberFormat="1" applyFont="1" applyFill="1" applyBorder="1"/>
    <xf numFmtId="3" fontId="37" fillId="47" borderId="24" xfId="2" applyNumberFormat="1" applyFont="1" applyFill="1" applyBorder="1"/>
    <xf numFmtId="3" fontId="39" fillId="12" borderId="17" xfId="1" applyNumberFormat="1" applyFont="1" applyFill="1" applyBorder="1" applyAlignment="1">
      <alignment vertical="center"/>
    </xf>
    <xf numFmtId="10" fontId="43" fillId="4" borderId="25" xfId="0" applyNumberFormat="1" applyFont="1" applyFill="1" applyBorder="1"/>
    <xf numFmtId="3" fontId="0" fillId="4" borderId="7" xfId="0" applyNumberForma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48" borderId="12" xfId="0" applyFill="1" applyBorder="1" applyAlignment="1">
      <alignment horizontal="center"/>
    </xf>
    <xf numFmtId="0" fontId="0" fillId="48" borderId="17" xfId="0" applyFill="1" applyBorder="1" applyAlignment="1">
      <alignment horizontal="center"/>
    </xf>
    <xf numFmtId="0" fontId="0" fillId="48" borderId="9" xfId="0" applyFill="1" applyBorder="1" applyAlignment="1">
      <alignment horizontal="center"/>
    </xf>
    <xf numFmtId="0" fontId="0" fillId="48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6" borderId="9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 vertical="center"/>
    </xf>
    <xf numFmtId="0" fontId="0" fillId="4" borderId="13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53">
    <cellStyle name="20 % - zvýraznenie1 2" xfId="8"/>
    <cellStyle name="20 % - zvýraznenie2 2" xfId="9"/>
    <cellStyle name="20 % - zvýraznenie3 2" xfId="10"/>
    <cellStyle name="20 % - zvýraznenie4 2" xfId="11"/>
    <cellStyle name="20 % - zvýraznenie5 2" xfId="12"/>
    <cellStyle name="20 % - zvýraznenie6 2" xfId="13"/>
    <cellStyle name="40 % - zvýraznenie1 2" xfId="14"/>
    <cellStyle name="40 % - zvýraznenie2 2" xfId="15"/>
    <cellStyle name="40 % - zvýraznenie3 2" xfId="16"/>
    <cellStyle name="40 % - zvýraznenie4 2" xfId="17"/>
    <cellStyle name="40 % - zvýraznenie5 2" xfId="18"/>
    <cellStyle name="40 % - zvýraznenie6 2" xfId="19"/>
    <cellStyle name="60 % - zvýraznenie1 2" xfId="20"/>
    <cellStyle name="60 % - zvýraznenie2 2" xfId="21"/>
    <cellStyle name="60 % - zvýraznenie3 2" xfId="22"/>
    <cellStyle name="60 % - zvýraznenie4 2" xfId="23"/>
    <cellStyle name="60 % - zvýraznenie5 2" xfId="24"/>
    <cellStyle name="60 % - zvýraznenie6 2" xfId="25"/>
    <cellStyle name="Čiarka" xfId="1" builtinId="3"/>
    <cellStyle name="Dobrá 2" xfId="26"/>
    <cellStyle name="Kontrolná bunka 2" xfId="27"/>
    <cellStyle name="měny_Absolventské statistiky prazdne" xfId="28"/>
    <cellStyle name="Nadpis 1 2" xfId="29"/>
    <cellStyle name="Nadpis 2 2" xfId="30"/>
    <cellStyle name="Nadpis 3 2" xfId="31"/>
    <cellStyle name="Nadpis 4 2" xfId="32"/>
    <cellStyle name="Neutrálna 2" xfId="33"/>
    <cellStyle name="Normal_List1" xfId="34"/>
    <cellStyle name="Normal_Tab4" xfId="3"/>
    <cellStyle name="Normálna" xfId="0" builtinId="0"/>
    <cellStyle name="Normálna 2" xfId="35"/>
    <cellStyle name="Normálna 3" xfId="7"/>
    <cellStyle name="Normálna 4" xfId="6"/>
    <cellStyle name="normálne 2" xfId="36"/>
    <cellStyle name="normální_Absolventské statistiky prazdne" xfId="37"/>
    <cellStyle name="normální_MIERA1_2" xfId="4"/>
    <cellStyle name="Percentá" xfId="2" builtinId="5"/>
    <cellStyle name="Poznámka 2" xfId="38"/>
    <cellStyle name="Prepojená bunka 2" xfId="39"/>
    <cellStyle name="Spolu 2" xfId="40"/>
    <cellStyle name="Text upozornenia 2" xfId="41"/>
    <cellStyle name="Titul" xfId="5" builtinId="15" customBuiltin="1"/>
    <cellStyle name="Vstup 2" xfId="42"/>
    <cellStyle name="Výpočet 2" xfId="43"/>
    <cellStyle name="Výstup 2" xfId="44"/>
    <cellStyle name="Vysvetľujúci text 2" xfId="45"/>
    <cellStyle name="Zlá 2" xfId="46"/>
    <cellStyle name="Zvýraznenie1 2" xfId="47"/>
    <cellStyle name="Zvýraznenie2 2" xfId="48"/>
    <cellStyle name="Zvýraznenie3 2" xfId="49"/>
    <cellStyle name="Zvýraznenie4 2" xfId="50"/>
    <cellStyle name="Zvýraznenie5 2" xfId="51"/>
    <cellStyle name="Zvýraznenie6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5" zoomScaleNormal="100" workbookViewId="0">
      <selection activeCell="A32" sqref="A32:B40"/>
    </sheetView>
  </sheetViews>
  <sheetFormatPr defaultRowHeight="12.75" x14ac:dyDescent="0.2"/>
  <cols>
    <col min="1" max="1" width="59.140625" customWidth="1"/>
    <col min="2" max="2" width="79.5703125" customWidth="1"/>
    <col min="3" max="3" width="7.85546875" customWidth="1"/>
    <col min="4" max="4" width="11.7109375" bestFit="1" customWidth="1"/>
    <col min="5" max="6" width="11.7109375" customWidth="1"/>
    <col min="7" max="7" width="12.85546875" customWidth="1"/>
    <col min="8" max="9" width="11.7109375" customWidth="1"/>
    <col min="10" max="12" width="16.140625" customWidth="1"/>
  </cols>
  <sheetData>
    <row r="1" spans="1:12" s="1" customFormat="1" ht="21" x14ac:dyDescent="0.35">
      <c r="A1" s="8" t="s">
        <v>55</v>
      </c>
      <c r="B1" s="9" t="s">
        <v>78</v>
      </c>
    </row>
    <row r="2" spans="1:12" ht="25.5" customHeight="1" x14ac:dyDescent="0.2">
      <c r="A2" s="4" t="s">
        <v>53</v>
      </c>
      <c r="B2" s="20" t="s">
        <v>6</v>
      </c>
      <c r="C2" s="271" t="s">
        <v>79</v>
      </c>
      <c r="D2" s="271"/>
      <c r="E2" s="271"/>
      <c r="F2" s="271"/>
      <c r="G2" s="271"/>
      <c r="H2" s="271"/>
      <c r="I2" s="271"/>
      <c r="J2" s="271"/>
      <c r="K2" s="271"/>
      <c r="L2" s="271"/>
    </row>
    <row r="3" spans="1:12" ht="12.75" customHeight="1" x14ac:dyDescent="0.2">
      <c r="A3" s="272" t="s">
        <v>213</v>
      </c>
      <c r="B3" s="273"/>
      <c r="F3" s="271" t="s">
        <v>198</v>
      </c>
      <c r="G3" s="271"/>
      <c r="H3" s="271"/>
      <c r="I3" s="271"/>
      <c r="J3" s="271"/>
    </row>
    <row r="4" spans="1:12" x14ac:dyDescent="0.2">
      <c r="A4" s="270"/>
      <c r="B4" s="270"/>
    </row>
    <row r="5" spans="1:12" x14ac:dyDescent="0.2">
      <c r="A5" s="270"/>
      <c r="B5" s="270"/>
    </row>
    <row r="6" spans="1:12" x14ac:dyDescent="0.2">
      <c r="A6" s="270"/>
      <c r="B6" s="270"/>
    </row>
    <row r="7" spans="1:12" x14ac:dyDescent="0.2">
      <c r="A7" s="270"/>
      <c r="B7" s="270"/>
    </row>
    <row r="8" spans="1:12" x14ac:dyDescent="0.2">
      <c r="A8" s="270"/>
      <c r="B8" s="270"/>
    </row>
    <row r="9" spans="1:12" x14ac:dyDescent="0.2">
      <c r="A9" s="270"/>
      <c r="B9" s="270"/>
    </row>
    <row r="10" spans="1:12" x14ac:dyDescent="0.2">
      <c r="A10" s="270"/>
      <c r="B10" s="270"/>
    </row>
    <row r="11" spans="1:12" x14ac:dyDescent="0.2">
      <c r="A11" s="270"/>
      <c r="B11" s="270"/>
    </row>
    <row r="12" spans="1:12" x14ac:dyDescent="0.2">
      <c r="A12" s="273" t="s">
        <v>214</v>
      </c>
      <c r="B12" s="273"/>
    </row>
    <row r="13" spans="1:12" x14ac:dyDescent="0.2">
      <c r="A13" s="270"/>
      <c r="B13" s="270"/>
    </row>
    <row r="14" spans="1:12" x14ac:dyDescent="0.2">
      <c r="A14" s="270"/>
      <c r="B14" s="270"/>
    </row>
    <row r="15" spans="1:12" x14ac:dyDescent="0.2">
      <c r="A15" s="270"/>
      <c r="B15" s="270"/>
    </row>
    <row r="16" spans="1:12" x14ac:dyDescent="0.2">
      <c r="A16" s="270"/>
      <c r="B16" s="270"/>
    </row>
    <row r="17" spans="1:3" x14ac:dyDescent="0.2">
      <c r="A17" s="270"/>
      <c r="B17" s="270"/>
    </row>
    <row r="18" spans="1:3" x14ac:dyDescent="0.2">
      <c r="A18" s="270"/>
      <c r="B18" s="270"/>
    </row>
    <row r="19" spans="1:3" x14ac:dyDescent="0.2">
      <c r="A19" s="270"/>
      <c r="B19" s="270"/>
    </row>
    <row r="20" spans="1:3" x14ac:dyDescent="0.2">
      <c r="A20" s="270"/>
      <c r="B20" s="270"/>
    </row>
    <row r="21" spans="1:3" x14ac:dyDescent="0.2">
      <c r="A21" s="273" t="s">
        <v>212</v>
      </c>
      <c r="B21" s="273"/>
    </row>
    <row r="22" spans="1:3" x14ac:dyDescent="0.2">
      <c r="A22" s="270"/>
      <c r="B22" s="270"/>
    </row>
    <row r="23" spans="1:3" x14ac:dyDescent="0.2">
      <c r="A23" s="270"/>
      <c r="B23" s="270"/>
    </row>
    <row r="24" spans="1:3" x14ac:dyDescent="0.2">
      <c r="A24" s="270"/>
      <c r="B24" s="270"/>
    </row>
    <row r="25" spans="1:3" x14ac:dyDescent="0.2">
      <c r="A25" s="270"/>
      <c r="B25" s="270"/>
    </row>
    <row r="26" spans="1:3" x14ac:dyDescent="0.2">
      <c r="A26" s="270"/>
      <c r="B26" s="270"/>
    </row>
    <row r="27" spans="1:3" x14ac:dyDescent="0.2">
      <c r="A27" s="270"/>
      <c r="B27" s="270"/>
    </row>
    <row r="28" spans="1:3" x14ac:dyDescent="0.2">
      <c r="A28" s="270"/>
      <c r="B28" s="270"/>
    </row>
    <row r="29" spans="1:3" x14ac:dyDescent="0.2">
      <c r="A29" s="270"/>
      <c r="B29" s="270"/>
    </row>
    <row r="30" spans="1:3" x14ac:dyDescent="0.2">
      <c r="A30" s="270"/>
      <c r="B30" s="270"/>
      <c r="C30" s="10"/>
    </row>
    <row r="31" spans="1:3" s="140" customFormat="1" x14ac:dyDescent="0.2">
      <c r="A31" s="274" t="s">
        <v>211</v>
      </c>
      <c r="B31" s="274"/>
    </row>
    <row r="32" spans="1:3" x14ac:dyDescent="0.2">
      <c r="A32" s="297" t="s">
        <v>217</v>
      </c>
      <c r="B32" s="297"/>
    </row>
    <row r="33" spans="1:2" x14ac:dyDescent="0.2">
      <c r="A33" s="297"/>
      <c r="B33" s="297"/>
    </row>
    <row r="34" spans="1:2" x14ac:dyDescent="0.2">
      <c r="A34" s="297"/>
      <c r="B34" s="297"/>
    </row>
    <row r="35" spans="1:2" x14ac:dyDescent="0.2">
      <c r="A35" s="297"/>
      <c r="B35" s="297"/>
    </row>
    <row r="36" spans="1:2" x14ac:dyDescent="0.2">
      <c r="A36" s="297"/>
      <c r="B36" s="297"/>
    </row>
    <row r="37" spans="1:2" x14ac:dyDescent="0.2">
      <c r="A37" s="297"/>
      <c r="B37" s="297"/>
    </row>
    <row r="38" spans="1:2" x14ac:dyDescent="0.2">
      <c r="A38" s="297"/>
      <c r="B38" s="297"/>
    </row>
    <row r="39" spans="1:2" x14ac:dyDescent="0.2">
      <c r="A39" s="297"/>
      <c r="B39" s="297"/>
    </row>
    <row r="40" spans="1:2" x14ac:dyDescent="0.2">
      <c r="A40" s="297"/>
      <c r="B40" s="297"/>
    </row>
    <row r="41" spans="1:2" s="140" customFormat="1" ht="26.25" customHeight="1" x14ac:dyDescent="0.2">
      <c r="A41" s="275" t="s">
        <v>215</v>
      </c>
      <c r="B41" s="275"/>
    </row>
    <row r="42" spans="1:2" x14ac:dyDescent="0.2">
      <c r="A42" s="297" t="s">
        <v>218</v>
      </c>
      <c r="B42" s="297"/>
    </row>
    <row r="43" spans="1:2" x14ac:dyDescent="0.2">
      <c r="A43" s="297"/>
      <c r="B43" s="297"/>
    </row>
    <row r="44" spans="1:2" x14ac:dyDescent="0.2">
      <c r="A44" s="297"/>
      <c r="B44" s="297"/>
    </row>
    <row r="45" spans="1:2" x14ac:dyDescent="0.2">
      <c r="A45" s="297"/>
      <c r="B45" s="297"/>
    </row>
    <row r="46" spans="1:2" x14ac:dyDescent="0.2">
      <c r="A46" s="297"/>
      <c r="B46" s="297"/>
    </row>
    <row r="47" spans="1:2" x14ac:dyDescent="0.2">
      <c r="A47" s="297"/>
      <c r="B47" s="297"/>
    </row>
    <row r="48" spans="1:2" x14ac:dyDescent="0.2">
      <c r="A48" s="297"/>
      <c r="B48" s="297"/>
    </row>
    <row r="49" spans="1:2" x14ac:dyDescent="0.2">
      <c r="A49" s="297"/>
      <c r="B49" s="297"/>
    </row>
    <row r="50" spans="1:2" x14ac:dyDescent="0.2">
      <c r="A50" s="297"/>
      <c r="B50" s="297"/>
    </row>
  </sheetData>
  <mergeCells count="12">
    <mergeCell ref="A31:B31"/>
    <mergeCell ref="A32:B40"/>
    <mergeCell ref="A41:B41"/>
    <mergeCell ref="A42:B50"/>
    <mergeCell ref="A21:B21"/>
    <mergeCell ref="A13:B20"/>
    <mergeCell ref="A22:B30"/>
    <mergeCell ref="C2:L2"/>
    <mergeCell ref="F3:J3"/>
    <mergeCell ref="A3:B3"/>
    <mergeCell ref="A4:B11"/>
    <mergeCell ref="A12:B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39" yWindow="293" count="1">
        <x14:dataValidation type="list" allowBlank="1" showInputMessage="1" showErrorMessage="1" prompt="Vyberte Úrad zo zonamu kliknutím na šípku v pravom dolnom rohu bunky. _x000a__x000a_">
          <x14:formula1>
            <xm:f>Minulost!$A$3:$A$48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pane xSplit="1" topLeftCell="L1" activePane="topRight" state="frozen"/>
      <selection pane="topRight" activeCell="P15" sqref="P15"/>
    </sheetView>
  </sheetViews>
  <sheetFormatPr defaultRowHeight="12.75" x14ac:dyDescent="0.2"/>
  <cols>
    <col min="1" max="1" width="53.7109375" customWidth="1"/>
    <col min="2" max="2" width="17.85546875" customWidth="1"/>
    <col min="3" max="3" width="18.140625" customWidth="1"/>
    <col min="4" max="4" width="18.140625" style="34" customWidth="1"/>
    <col min="5" max="6" width="18.140625" style="45" customWidth="1"/>
    <col min="7" max="7" width="17.7109375" style="6" customWidth="1"/>
    <col min="8" max="8" width="21.140625" style="6" customWidth="1"/>
    <col min="9" max="9" width="18.85546875" style="6" customWidth="1"/>
    <col min="10" max="15" width="17.7109375" style="6" customWidth="1"/>
    <col min="16" max="16" width="14.28515625" style="45" customWidth="1"/>
    <col min="17" max="17" width="14.42578125" style="45" customWidth="1"/>
  </cols>
  <sheetData>
    <row r="1" spans="1:17" s="1" customFormat="1" ht="15.75" x14ac:dyDescent="0.25">
      <c r="A1" s="3" t="s">
        <v>208</v>
      </c>
      <c r="D1" s="34"/>
      <c r="E1" s="45"/>
      <c r="F1" s="45"/>
      <c r="G1" s="6"/>
      <c r="H1" s="6"/>
      <c r="I1" s="6"/>
      <c r="J1" s="6"/>
      <c r="K1" s="6"/>
      <c r="L1" s="6"/>
      <c r="M1" s="6"/>
      <c r="N1" s="6"/>
      <c r="O1" s="6"/>
      <c r="P1" s="45"/>
      <c r="Q1" s="45"/>
    </row>
    <row r="2" spans="1:17" ht="13.5" thickBot="1" x14ac:dyDescent="0.25">
      <c r="A2" t="s">
        <v>54</v>
      </c>
      <c r="B2" t="str">
        <f>'1_Analýza'!B2</f>
        <v>Senica</v>
      </c>
    </row>
    <row r="3" spans="1:17" s="2" customFormat="1" ht="12.95" customHeight="1" thickBot="1" x14ac:dyDescent="0.25">
      <c r="A3" s="11"/>
      <c r="B3" s="284" t="s">
        <v>59</v>
      </c>
      <c r="C3" s="285"/>
      <c r="D3" s="285"/>
      <c r="E3" s="285"/>
      <c r="F3" s="286"/>
      <c r="G3" s="278" t="s">
        <v>102</v>
      </c>
      <c r="H3" s="278"/>
      <c r="I3" s="279"/>
      <c r="J3" s="280" t="s">
        <v>117</v>
      </c>
      <c r="K3" s="278"/>
      <c r="L3" s="279"/>
      <c r="M3" s="281" t="s">
        <v>200</v>
      </c>
      <c r="N3" s="282"/>
      <c r="O3" s="283"/>
      <c r="P3" s="276" t="s">
        <v>203</v>
      </c>
      <c r="Q3" s="45"/>
    </row>
    <row r="4" spans="1:17" ht="15.75" x14ac:dyDescent="0.2">
      <c r="A4" s="12"/>
      <c r="B4" s="218" t="s">
        <v>92</v>
      </c>
      <c r="C4" s="219" t="s">
        <v>93</v>
      </c>
      <c r="D4" s="219" t="s">
        <v>101</v>
      </c>
      <c r="E4" s="219" t="s">
        <v>201</v>
      </c>
      <c r="F4" s="220" t="s">
        <v>202</v>
      </c>
      <c r="G4" s="27" t="s">
        <v>103</v>
      </c>
      <c r="H4" s="27" t="s">
        <v>111</v>
      </c>
      <c r="I4" s="115" t="s">
        <v>52</v>
      </c>
      <c r="J4" s="26" t="s">
        <v>123</v>
      </c>
      <c r="K4" s="27" t="s">
        <v>111</v>
      </c>
      <c r="L4" s="115" t="s">
        <v>52</v>
      </c>
      <c r="M4" s="26" t="s">
        <v>199</v>
      </c>
      <c r="N4" s="27" t="s">
        <v>111</v>
      </c>
      <c r="O4" s="115" t="s">
        <v>52</v>
      </c>
      <c r="P4" s="277"/>
      <c r="Q4" s="23"/>
    </row>
    <row r="5" spans="1:17" ht="15.75" x14ac:dyDescent="0.2">
      <c r="A5" s="17" t="s">
        <v>48</v>
      </c>
      <c r="B5" s="234">
        <f>B6/B9</f>
        <v>3.9062089269754484E-2</v>
      </c>
      <c r="C5" s="235">
        <f>C6/C9</f>
        <v>3.4706020653608956E-2</v>
      </c>
      <c r="D5" s="235">
        <f>D6/D9</f>
        <v>4.3717551230072101E-2</v>
      </c>
      <c r="E5" s="235">
        <f>E6/E9</f>
        <v>6.1871939053147106E-2</v>
      </c>
      <c r="F5" s="117">
        <f>F6/F9</f>
        <v>5.5469841903690122E-2</v>
      </c>
      <c r="G5" s="235">
        <f>G6/D9</f>
        <v>3.4856629180502301E-2</v>
      </c>
      <c r="H5" s="235">
        <f>C5-G5</f>
        <v>-1.5060852689334492E-4</v>
      </c>
      <c r="I5" s="117">
        <f>((C5-D5)/H5)</f>
        <v>59.834132650701505</v>
      </c>
      <c r="J5" s="234">
        <f>J6/E9</f>
        <v>5.6230727371666969E-2</v>
      </c>
      <c r="K5" s="235">
        <f>D5-J5</f>
        <v>-1.2513176141594869E-2</v>
      </c>
      <c r="L5" s="117">
        <f>((D5-E5)/K5)</f>
        <v>1.4508217272454327</v>
      </c>
      <c r="M5" s="235">
        <f>M6/F9</f>
        <v>5.808360408763364E-2</v>
      </c>
      <c r="N5" s="247">
        <f>E5-M5</f>
        <v>3.7883349655134652E-3</v>
      </c>
      <c r="O5" s="117">
        <f>((E5-F5)/N5)</f>
        <v>1.689950125249617</v>
      </c>
      <c r="P5" s="38">
        <f>P6/P9</f>
        <v>5.2727272727272727E-2</v>
      </c>
      <c r="Q5" s="24"/>
    </row>
    <row r="6" spans="1:17" ht="15.75" x14ac:dyDescent="0.25">
      <c r="A6" s="130" t="s">
        <v>81</v>
      </c>
      <c r="B6" s="236">
        <f>VLOOKUP(B2,Minulost!A2:CD49,7,FALSE)</f>
        <v>2229</v>
      </c>
      <c r="C6" s="237">
        <f>VLOOKUP(B2,Minulost!A2:CD49,8,FALSE)</f>
        <v>1919</v>
      </c>
      <c r="D6" s="237">
        <f>VLOOKUP(B2,Minulost!A2:CD49,10,FALSE)</f>
        <v>2383</v>
      </c>
      <c r="E6" s="237">
        <f>VLOOKUP(B2,Minulost!A2:CD49,12,FALSE)</f>
        <v>3411</v>
      </c>
      <c r="F6" s="238">
        <f>VLOOKUP(B2,Minulost!A2:CD49,14,FALSE)</f>
        <v>3056</v>
      </c>
      <c r="G6" s="237">
        <f>VLOOKUP(B2,Minulost!A2:CD49,11,FALSE)</f>
        <v>1900</v>
      </c>
      <c r="H6" s="237">
        <f>C6-G6</f>
        <v>19</v>
      </c>
      <c r="I6" s="243">
        <f>((C6-D6)/H6)</f>
        <v>-24.421052631578949</v>
      </c>
      <c r="J6" s="236">
        <f>VLOOKUP(B2,Minulost!A2:CD49,13,FALSE)</f>
        <v>3100</v>
      </c>
      <c r="K6" s="237">
        <f>D6-J6</f>
        <v>-717</v>
      </c>
      <c r="L6" s="243">
        <f>((D6-E6)/K6)</f>
        <v>1.4337517433751743</v>
      </c>
      <c r="M6" s="237">
        <f>VLOOKUP(B2,Minulost!A2:CD49,15,FALSE)</f>
        <v>3200</v>
      </c>
      <c r="N6" s="248">
        <f>E6-M6</f>
        <v>211</v>
      </c>
      <c r="O6" s="243">
        <f>((E6-F6)/N6)</f>
        <v>1.6824644549763033</v>
      </c>
      <c r="P6" s="40">
        <v>2900</v>
      </c>
      <c r="Q6" s="24" t="s">
        <v>80</v>
      </c>
    </row>
    <row r="7" spans="1:17" s="21" customFormat="1" ht="31.5" x14ac:dyDescent="0.25">
      <c r="A7" s="25" t="s">
        <v>83</v>
      </c>
      <c r="B7" s="234">
        <f>B8/B9</f>
        <v>4.5563675236142506E-2</v>
      </c>
      <c r="C7" s="235">
        <f>C8/C9</f>
        <v>4.1379559799612969E-2</v>
      </c>
      <c r="D7" s="235">
        <f>D8/D9</f>
        <v>4.8927700012841913E-2</v>
      </c>
      <c r="E7" s="235">
        <f>E8/E9</f>
        <v>6.6642481407582083E-2</v>
      </c>
      <c r="F7" s="117">
        <f>F8/F9</f>
        <v>5.9771658831430492E-2</v>
      </c>
      <c r="G7" s="235">
        <f>G8/D9</f>
        <v>4.0360307472160559E-2</v>
      </c>
      <c r="H7" s="235">
        <f>C7-G7</f>
        <v>1.0192523274524107E-3</v>
      </c>
      <c r="I7" s="117">
        <f>((C7-D7)/H7)</f>
        <v>-7.4055658348068567</v>
      </c>
      <c r="J7" s="234">
        <f>J8/E9</f>
        <v>6.5300199528387448E-2</v>
      </c>
      <c r="K7" s="235">
        <f>D7-J7</f>
        <v>-1.6372499515545536E-2</v>
      </c>
      <c r="L7" s="117">
        <f>((D7-E7)/K7)</f>
        <v>1.0819839315261637</v>
      </c>
      <c r="M7" s="235">
        <f>M8/F9</f>
        <v>6.3528941970849295E-2</v>
      </c>
      <c r="N7" s="247">
        <f>E7-M7</f>
        <v>3.1135394367327873E-3</v>
      </c>
      <c r="O7" s="117">
        <f>((E7-F7)/N7)</f>
        <v>2.2067562386046191</v>
      </c>
      <c r="P7" s="38">
        <f>P8/P9</f>
        <v>5.8181818181818182E-2</v>
      </c>
      <c r="Q7" s="10"/>
    </row>
    <row r="8" spans="1:17" s="21" customFormat="1" ht="15.75" x14ac:dyDescent="0.25">
      <c r="A8" s="13" t="s">
        <v>82</v>
      </c>
      <c r="B8" s="229">
        <f>VLOOKUP(B2,Minulost!A2:CD49,63,FALSE)</f>
        <v>2600</v>
      </c>
      <c r="C8" s="232">
        <f>VLOOKUP(B2,Minulost!A2:CD49,64,FALSE)</f>
        <v>2288</v>
      </c>
      <c r="D8" s="232">
        <f>VLOOKUP(B2,Minulost!A2:CD49,66,FALSE)</f>
        <v>2667</v>
      </c>
      <c r="E8" s="232">
        <f>VLOOKUP(B2,Minulost!A2:CD49,68,FALSE)</f>
        <v>3674</v>
      </c>
      <c r="F8" s="239">
        <f>VLOOKUP(B2,Minulost!A2:CD49,70,FALSE)</f>
        <v>3293</v>
      </c>
      <c r="G8" s="232">
        <f>VLOOKUP(B2,Minulost!A2:CD49,67,FALSE)</f>
        <v>2200</v>
      </c>
      <c r="H8" s="232">
        <f>C8-G8</f>
        <v>88</v>
      </c>
      <c r="I8" s="116">
        <f>((C8-D8)/H8)</f>
        <v>-4.3068181818181817</v>
      </c>
      <c r="J8" s="229">
        <f>VLOOKUP(B2,Minulost!A2:CD49,69,FALSE)</f>
        <v>3600</v>
      </c>
      <c r="K8" s="232">
        <f>D8-J8</f>
        <v>-933</v>
      </c>
      <c r="L8" s="116">
        <f>((D8-E8)/K8)</f>
        <v>1.0793140407288317</v>
      </c>
      <c r="M8" s="232">
        <f>VLOOKUP(B2,Minulost!A2:CD49,71,FALSE)</f>
        <v>3500</v>
      </c>
      <c r="N8" s="249">
        <f>E8-M8</f>
        <v>174</v>
      </c>
      <c r="O8" s="116">
        <f>((E8-F8)/N8)</f>
        <v>2.1896551724137931</v>
      </c>
      <c r="P8" s="30">
        <v>3200</v>
      </c>
      <c r="Q8" s="10" t="s">
        <v>210</v>
      </c>
    </row>
    <row r="9" spans="1:17" ht="15.75" x14ac:dyDescent="0.2">
      <c r="A9" s="18" t="s">
        <v>49</v>
      </c>
      <c r="B9" s="236">
        <f>VLOOKUP(B2,Minulost!A2:CD49,2,FALSE)</f>
        <v>57063</v>
      </c>
      <c r="C9" s="237">
        <f>VLOOKUP(B2,Minulost!A2:CD49,3,FALSE)</f>
        <v>55293</v>
      </c>
      <c r="D9" s="237">
        <f>VLOOKUP(B2,Minulost!A2:CD49,4,FALSE)</f>
        <v>54509</v>
      </c>
      <c r="E9" s="237">
        <f>VLOOKUP(B2,Minulost!A2:CD49,5,FALSE)</f>
        <v>55130</v>
      </c>
      <c r="F9" s="238">
        <f>VLOOKUP(B2,Minulost!A2:CD49,6,FALSE)</f>
        <v>55093</v>
      </c>
      <c r="G9" s="124" t="s">
        <v>46</v>
      </c>
      <c r="H9" s="124" t="s">
        <v>46</v>
      </c>
      <c r="I9" s="125" t="s">
        <v>46</v>
      </c>
      <c r="J9" s="133" t="s">
        <v>46</v>
      </c>
      <c r="K9" s="118" t="s">
        <v>46</v>
      </c>
      <c r="L9" s="134" t="s">
        <v>46</v>
      </c>
      <c r="M9" s="133" t="s">
        <v>46</v>
      </c>
      <c r="N9" s="250" t="s">
        <v>46</v>
      </c>
      <c r="O9" s="134" t="s">
        <v>46</v>
      </c>
      <c r="P9" s="269">
        <v>55000</v>
      </c>
      <c r="Q9" s="6"/>
    </row>
    <row r="10" spans="1:17" s="2" customFormat="1" ht="9.75" customHeight="1" x14ac:dyDescent="0.2">
      <c r="A10" s="14"/>
      <c r="B10" s="126"/>
      <c r="C10" s="127"/>
      <c r="D10" s="127"/>
      <c r="E10" s="127"/>
      <c r="F10" s="129"/>
      <c r="G10" s="120"/>
      <c r="H10" s="120"/>
      <c r="I10" s="116"/>
      <c r="J10" s="119"/>
      <c r="K10" s="120"/>
      <c r="L10" s="116"/>
      <c r="M10" s="245"/>
      <c r="N10" s="251"/>
      <c r="O10" s="116"/>
      <c r="P10" s="39"/>
      <c r="Q10" s="45"/>
    </row>
    <row r="11" spans="1:17" ht="15.75" x14ac:dyDescent="0.2">
      <c r="A11" s="17" t="s">
        <v>56</v>
      </c>
      <c r="B11" s="119"/>
      <c r="C11" s="120"/>
      <c r="D11" s="120"/>
      <c r="E11" s="120"/>
      <c r="F11" s="121"/>
      <c r="G11" s="123"/>
      <c r="H11" s="123"/>
      <c r="I11" s="117"/>
      <c r="J11" s="122"/>
      <c r="K11" s="123"/>
      <c r="L11" s="117"/>
      <c r="M11" s="235"/>
      <c r="N11" s="247"/>
      <c r="O11" s="117"/>
      <c r="P11" s="41"/>
    </row>
    <row r="12" spans="1:17" x14ac:dyDescent="0.2">
      <c r="A12" s="19" t="s">
        <v>177</v>
      </c>
      <c r="B12" s="229">
        <f>VLOOKUP(B2,Minulost!A2:CD49,16,FALSE)</f>
        <v>750</v>
      </c>
      <c r="C12" s="232">
        <f>VLOOKUP(B2,Minulost!A2:CD49,17,FALSE)</f>
        <v>409</v>
      </c>
      <c r="D12" s="232">
        <f>VLOOKUP(B2,Minulost!A2:CD49,19,FALSE)</f>
        <v>392</v>
      </c>
      <c r="E12" s="232">
        <f>VLOOKUP(B2,Minulost!A2:CD49,21,FALSE)</f>
        <v>881</v>
      </c>
      <c r="F12" s="239">
        <f>VLOOKUP(B2,Minulost!A2:CD49,23,FALSE)</f>
        <v>1122</v>
      </c>
      <c r="G12" s="237">
        <f>VLOOKUP(B2,Minulost!A2:CD49,20,FALSE)</f>
        <v>350</v>
      </c>
      <c r="H12" s="237">
        <f>C12-G12</f>
        <v>59</v>
      </c>
      <c r="I12" s="243">
        <f>((C12-D12)/H12)</f>
        <v>0.28813559322033899</v>
      </c>
      <c r="J12" s="236">
        <f>VLOOKUP(B2,Minulost!A2:CD49,22,FALSE)</f>
        <v>550</v>
      </c>
      <c r="K12" s="237">
        <f>D12-J12</f>
        <v>-158</v>
      </c>
      <c r="L12" s="243">
        <f>((D12-E12)/K12)</f>
        <v>3.0949367088607596</v>
      </c>
      <c r="M12" s="237">
        <f>VLOOKUP(B2,Minulost!A2:CD49,24,FALSE)</f>
        <v>1000</v>
      </c>
      <c r="N12" s="248">
        <f>E12-M12</f>
        <v>-119</v>
      </c>
      <c r="O12" s="268">
        <f>((E12-F12)/N12)</f>
        <v>2.0252100840336134</v>
      </c>
      <c r="P12" s="40">
        <v>1000</v>
      </c>
      <c r="Q12" s="10" t="s">
        <v>210</v>
      </c>
    </row>
    <row r="13" spans="1:17" ht="9" customHeight="1" x14ac:dyDescent="0.2">
      <c r="A13" s="131"/>
      <c r="B13" s="221"/>
      <c r="C13" s="222"/>
      <c r="D13" s="222"/>
      <c r="E13" s="222"/>
      <c r="F13" s="223"/>
      <c r="G13" s="123"/>
      <c r="H13" s="123"/>
      <c r="I13" s="117"/>
      <c r="J13" s="122"/>
      <c r="K13" s="123"/>
      <c r="L13" s="117"/>
      <c r="M13" s="235"/>
      <c r="N13" s="247"/>
      <c r="O13" s="117"/>
      <c r="P13" s="41"/>
      <c r="Q13" s="10"/>
    </row>
    <row r="14" spans="1:17" ht="15.75" x14ac:dyDescent="0.2">
      <c r="A14" s="132" t="s">
        <v>57</v>
      </c>
      <c r="B14" s="221"/>
      <c r="C14" s="222"/>
      <c r="D14" s="222"/>
      <c r="E14" s="222"/>
      <c r="F14" s="223"/>
      <c r="G14" s="127"/>
      <c r="H14" s="127"/>
      <c r="I14" s="128"/>
      <c r="J14" s="126"/>
      <c r="K14" s="127"/>
      <c r="L14" s="128"/>
      <c r="M14" s="246"/>
      <c r="N14" s="252"/>
      <c r="O14" s="128"/>
      <c r="P14" s="135"/>
      <c r="Q14" s="10"/>
    </row>
    <row r="15" spans="1:17" ht="13.5" thickBot="1" x14ac:dyDescent="0.25">
      <c r="A15" s="16" t="s">
        <v>178</v>
      </c>
      <c r="B15" s="240">
        <f>VLOOKUP(B2,Minulost!A2:CD49,25,FALSE)</f>
        <v>658</v>
      </c>
      <c r="C15" s="241">
        <f>VLOOKUP(B2,Minulost!A2:CD49,26,FALSE)</f>
        <v>599</v>
      </c>
      <c r="D15" s="241">
        <f>VLOOKUP(B2,Minulost!A2:CD49,28,FALSE)</f>
        <v>737</v>
      </c>
      <c r="E15" s="241">
        <f>VLOOKUP(B2,Minulost!A2:CD49,30,FALSE)</f>
        <v>989</v>
      </c>
      <c r="F15" s="242">
        <f>VLOOKUP(B2,Minulost!A2:CD49,32,FALSE)</f>
        <v>827</v>
      </c>
      <c r="G15" s="241">
        <f>VLOOKUP(B2,Minulost!A2:CD49,29,FALSE)</f>
        <v>480</v>
      </c>
      <c r="H15" s="241">
        <f>C15-G15</f>
        <v>119</v>
      </c>
      <c r="I15" s="244">
        <f>((C15-D15)/H15)</f>
        <v>-1.1596638655462186</v>
      </c>
      <c r="J15" s="240">
        <f>VLOOKUP(B2,Minulost!A2:CD49,31,FALSE)</f>
        <v>900</v>
      </c>
      <c r="K15" s="241">
        <f>D15-J15</f>
        <v>-163</v>
      </c>
      <c r="L15" s="244">
        <f>((D15-E15)/K15)</f>
        <v>1.5460122699386503</v>
      </c>
      <c r="M15" s="241">
        <f>VLOOKUP(B2,Minulost!A2:CD49,33,FALSE)</f>
        <v>900</v>
      </c>
      <c r="N15" s="253">
        <f>E15-M15</f>
        <v>89</v>
      </c>
      <c r="O15" s="244">
        <f>((E15-F15)/N15)</f>
        <v>1.8202247191011236</v>
      </c>
      <c r="P15" s="29">
        <v>700</v>
      </c>
      <c r="Q15" s="10" t="s">
        <v>210</v>
      </c>
    </row>
  </sheetData>
  <mergeCells count="5">
    <mergeCell ref="P3:P4"/>
    <mergeCell ref="G3:I3"/>
    <mergeCell ref="J3:L3"/>
    <mergeCell ref="M3:O3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6" sqref="B6:E6"/>
    </sheetView>
  </sheetViews>
  <sheetFormatPr defaultRowHeight="12.75" x14ac:dyDescent="0.2"/>
  <cols>
    <col min="2" max="2" width="33.7109375" customWidth="1"/>
    <col min="4" max="4" width="62.5703125" bestFit="1" customWidth="1"/>
    <col min="5" max="5" width="12.7109375" customWidth="1"/>
  </cols>
  <sheetData>
    <row r="1" spans="1:5" ht="15.75" x14ac:dyDescent="0.25">
      <c r="A1" s="3" t="s">
        <v>63</v>
      </c>
    </row>
    <row r="2" spans="1:5" x14ac:dyDescent="0.2">
      <c r="A2" t="s">
        <v>54</v>
      </c>
      <c r="B2" t="str">
        <f>'1_Analýza'!B2</f>
        <v>Senica</v>
      </c>
    </row>
    <row r="3" spans="1:5" x14ac:dyDescent="0.2">
      <c r="C3" s="10" t="s">
        <v>67</v>
      </c>
      <c r="E3" s="10" t="s">
        <v>68</v>
      </c>
    </row>
    <row r="4" spans="1:5" x14ac:dyDescent="0.2">
      <c r="B4" t="s">
        <v>64</v>
      </c>
      <c r="C4" s="5" t="s">
        <v>65</v>
      </c>
      <c r="D4" t="str">
        <f>IF(C4="Áno","Počet pracovných miest vytvorených novými investormi v roku 2022:","")</f>
        <v>Počet pracovných miest vytvorených novými investormi v roku 2022:</v>
      </c>
      <c r="E4" s="5">
        <v>400</v>
      </c>
    </row>
    <row r="5" spans="1:5" s="2" customFormat="1" x14ac:dyDescent="0.2">
      <c r="B5" s="2" t="s">
        <v>77</v>
      </c>
      <c r="C5" s="5" t="s">
        <v>66</v>
      </c>
      <c r="D5" s="2" t="s">
        <v>204</v>
      </c>
      <c r="E5" s="5">
        <v>0</v>
      </c>
    </row>
    <row r="6" spans="1:5" x14ac:dyDescent="0.2">
      <c r="B6" s="287" t="s">
        <v>216</v>
      </c>
      <c r="C6" s="287"/>
      <c r="D6" s="287"/>
      <c r="E6" s="287"/>
    </row>
    <row r="7" spans="1:5" x14ac:dyDescent="0.2">
      <c r="B7" s="288"/>
      <c r="C7" s="288"/>
      <c r="D7" s="288"/>
      <c r="E7" s="288"/>
    </row>
    <row r="8" spans="1:5" x14ac:dyDescent="0.2">
      <c r="B8" s="288"/>
      <c r="C8" s="288"/>
      <c r="D8" s="288"/>
      <c r="E8" s="288"/>
    </row>
    <row r="9" spans="1:5" x14ac:dyDescent="0.2">
      <c r="B9" s="288"/>
      <c r="C9" s="288"/>
      <c r="D9" s="288"/>
      <c r="E9" s="288"/>
    </row>
    <row r="10" spans="1:5" x14ac:dyDescent="0.2">
      <c r="B10" s="288"/>
      <c r="C10" s="288"/>
      <c r="D10" s="288"/>
      <c r="E10" s="288"/>
    </row>
    <row r="11" spans="1:5" x14ac:dyDescent="0.2">
      <c r="B11" s="288"/>
      <c r="C11" s="288"/>
      <c r="D11" s="288"/>
      <c r="E11" s="288"/>
    </row>
    <row r="24" spans="16:16" x14ac:dyDescent="0.2">
      <c r="P24" t="s">
        <v>65</v>
      </c>
    </row>
    <row r="25" spans="16:16" x14ac:dyDescent="0.2">
      <c r="P25" t="s">
        <v>66</v>
      </c>
    </row>
  </sheetData>
  <mergeCells count="2">
    <mergeCell ref="B6:E6"/>
    <mergeCell ref="B7:E11"/>
  </mergeCells>
  <dataValidations count="1">
    <dataValidation type="list" allowBlank="1" showInputMessage="1" showErrorMessage="1" sqref="C4:C5">
      <formula1>$P$24:$P$25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K9" sqref="K9"/>
    </sheetView>
  </sheetViews>
  <sheetFormatPr defaultRowHeight="12.75" x14ac:dyDescent="0.2"/>
  <cols>
    <col min="1" max="1" width="37.7109375" customWidth="1"/>
    <col min="2" max="2" width="11" customWidth="1"/>
    <col min="3" max="3" width="9.28515625" customWidth="1"/>
    <col min="4" max="4" width="9.28515625" style="33" customWidth="1"/>
    <col min="5" max="6" width="9.28515625" style="45" customWidth="1"/>
    <col min="8" max="8" width="17" customWidth="1"/>
    <col min="9" max="9" width="15.5703125" customWidth="1"/>
    <col min="10" max="10" width="12" style="34" customWidth="1"/>
    <col min="11" max="11" width="17.28515625" style="34" customWidth="1"/>
    <col min="12" max="12" width="15.5703125" style="34" customWidth="1"/>
    <col min="13" max="15" width="15.5703125" style="45" customWidth="1"/>
    <col min="22" max="22" width="10.140625" customWidth="1"/>
  </cols>
  <sheetData>
    <row r="1" spans="1:24" x14ac:dyDescent="0.2">
      <c r="A1" s="31" t="s">
        <v>74</v>
      </c>
      <c r="C1" t="str">
        <f>'1_Analýza'!B2</f>
        <v>Senica</v>
      </c>
    </row>
    <row r="2" spans="1:24" s="2" customFormat="1" ht="13.5" thickBot="1" x14ac:dyDescent="0.25">
      <c r="A2" s="7"/>
      <c r="D2" s="33"/>
      <c r="E2" s="45"/>
      <c r="F2" s="45"/>
      <c r="J2" s="34"/>
      <c r="K2" s="34"/>
      <c r="L2" s="34"/>
      <c r="M2" s="45"/>
      <c r="N2" s="45"/>
      <c r="O2" s="45"/>
    </row>
    <row r="3" spans="1:24" ht="13.5" thickBot="1" x14ac:dyDescent="0.25">
      <c r="A3" s="11" t="s">
        <v>71</v>
      </c>
      <c r="B3" s="224">
        <v>2</v>
      </c>
      <c r="C3" s="28" t="s">
        <v>210</v>
      </c>
      <c r="D3" s="28"/>
      <c r="E3" s="28"/>
      <c r="F3" s="28"/>
    </row>
    <row r="4" spans="1:24" s="2" customFormat="1" x14ac:dyDescent="0.2">
      <c r="A4" s="11"/>
      <c r="B4" s="293" t="s">
        <v>59</v>
      </c>
      <c r="C4" s="294"/>
      <c r="D4" s="295"/>
      <c r="E4" s="295"/>
      <c r="F4" s="296"/>
      <c r="G4" s="289" t="s">
        <v>102</v>
      </c>
      <c r="H4" s="289"/>
      <c r="I4" s="289"/>
      <c r="J4" s="292" t="s">
        <v>117</v>
      </c>
      <c r="K4" s="289"/>
      <c r="L4" s="289"/>
      <c r="M4" s="292" t="s">
        <v>200</v>
      </c>
      <c r="N4" s="289"/>
      <c r="O4" s="289"/>
      <c r="P4" s="290" t="s">
        <v>203</v>
      </c>
    </row>
    <row r="5" spans="1:24" s="2" customFormat="1" x14ac:dyDescent="0.2">
      <c r="A5" s="15"/>
      <c r="B5" s="119" t="s">
        <v>58</v>
      </c>
      <c r="C5" s="120" t="s">
        <v>51</v>
      </c>
      <c r="D5" s="120" t="s">
        <v>100</v>
      </c>
      <c r="E5" s="120" t="s">
        <v>122</v>
      </c>
      <c r="F5" s="121" t="s">
        <v>209</v>
      </c>
      <c r="G5" s="120" t="s">
        <v>103</v>
      </c>
      <c r="H5" s="120" t="s">
        <v>84</v>
      </c>
      <c r="I5" s="120" t="s">
        <v>52</v>
      </c>
      <c r="J5" s="119" t="s">
        <v>123</v>
      </c>
      <c r="K5" s="120" t="s">
        <v>84</v>
      </c>
      <c r="L5" s="120" t="s">
        <v>52</v>
      </c>
      <c r="M5" s="119" t="s">
        <v>199</v>
      </c>
      <c r="N5" s="120" t="s">
        <v>84</v>
      </c>
      <c r="O5" s="120" t="s">
        <v>52</v>
      </c>
      <c r="P5" s="291"/>
    </row>
    <row r="6" spans="1:24" ht="26.45" customHeight="1" x14ac:dyDescent="0.2">
      <c r="A6" s="136" t="s">
        <v>97</v>
      </c>
      <c r="B6" s="221">
        <f>VLOOKUP(C1,Minulost!A3:CD49,34,FALSE)</f>
        <v>3392</v>
      </c>
      <c r="C6" s="222">
        <f>VLOOKUP(C1,Minulost!A3:CD49,35,FALSE)</f>
        <v>3234</v>
      </c>
      <c r="D6" s="222">
        <f>VLOOKUP(C1,Minulost!A3:CD49,37,FALSE)</f>
        <v>3469</v>
      </c>
      <c r="E6" s="222">
        <f>VLOOKUP(C1,Minulost!A3:CD49,39,FALSE)</f>
        <v>3396</v>
      </c>
      <c r="F6" s="223">
        <f>VLOOKUP(C1,Minulost!A3:CD49,41,FALSE)</f>
        <v>3845</v>
      </c>
      <c r="G6" s="221">
        <f>VLOOKUP(C1,Minulost!A3:CD49,38,FALSE)</f>
        <v>3000</v>
      </c>
      <c r="H6" s="222">
        <f>G6-C6</f>
        <v>-234</v>
      </c>
      <c r="I6" s="128">
        <f>D6/G6</f>
        <v>1.1563333333333334</v>
      </c>
      <c r="J6" s="221">
        <f>VLOOKUP(C1,Minulost!A3:CD49,40,FALSE)</f>
        <v>2000</v>
      </c>
      <c r="K6" s="222">
        <f>J6-D6</f>
        <v>-1469</v>
      </c>
      <c r="L6" s="128">
        <f>E6/J6</f>
        <v>1.698</v>
      </c>
      <c r="M6" s="221">
        <f>VLOOKUP(C1,Minulost!A3:CD49,42,FALSE)</f>
        <v>3500</v>
      </c>
      <c r="N6" s="222">
        <f>M6-E6</f>
        <v>104</v>
      </c>
      <c r="O6" s="128">
        <f>F6/M6</f>
        <v>1.0985714285714285</v>
      </c>
      <c r="P6" s="137">
        <v>4000</v>
      </c>
      <c r="Q6" s="28" t="s">
        <v>210</v>
      </c>
      <c r="R6" t="s">
        <v>205</v>
      </c>
    </row>
    <row r="7" spans="1:24" ht="26.45" customHeight="1" x14ac:dyDescent="0.2">
      <c r="A7" s="136" t="s">
        <v>72</v>
      </c>
      <c r="B7" s="225">
        <f>VLOOKUP(C1,Minulost!A3:CD49,44,FALSE)</f>
        <v>75</v>
      </c>
      <c r="C7" s="127">
        <f>VLOOKUP(C1,Minulost!A3:CD49,45,FALSE)</f>
        <v>35</v>
      </c>
      <c r="D7" s="127">
        <f>VLOOKUP(C1,Minulost!A3:CD49,47,FALSE)</f>
        <v>35</v>
      </c>
      <c r="E7" s="127">
        <f>VLOOKUP(C1,Minulost!A3:CD49,49,FALSE)</f>
        <v>110</v>
      </c>
      <c r="F7" s="129">
        <f>VLOOKUP(C1,Minulost!A3:CD49,51,FALSE)</f>
        <v>12</v>
      </c>
      <c r="G7" s="221">
        <f>VLOOKUP(C1,Minulost!A3:CD49,48,FALSE)</f>
        <v>50</v>
      </c>
      <c r="H7" s="228">
        <f>G7-C7</f>
        <v>15</v>
      </c>
      <c r="I7" s="128">
        <f>D7/G7</f>
        <v>0.7</v>
      </c>
      <c r="J7" s="221">
        <f>VLOOKUP(C1,Minulost!A3:CD49,50,FALSE)</f>
        <v>30</v>
      </c>
      <c r="K7" s="222">
        <f>J7-D7</f>
        <v>-5</v>
      </c>
      <c r="L7" s="128">
        <f>E7/J7</f>
        <v>3.6666666666666665</v>
      </c>
      <c r="M7" s="221">
        <f>VLOOKUP(C1,Minulost!A3:CD49,52,FALSE)</f>
        <v>40</v>
      </c>
      <c r="N7" s="222">
        <f>M7-E7</f>
        <v>-70</v>
      </c>
      <c r="O7" s="128">
        <f>F7/M7</f>
        <v>0.3</v>
      </c>
      <c r="P7" s="137">
        <v>40</v>
      </c>
      <c r="Q7" s="28" t="s">
        <v>210</v>
      </c>
      <c r="R7" t="s">
        <v>206</v>
      </c>
    </row>
    <row r="8" spans="1:24" ht="51" x14ac:dyDescent="0.2">
      <c r="A8" s="44" t="s">
        <v>85</v>
      </c>
      <c r="B8" s="225">
        <f>VLOOKUP(C1,Minulost!A3:CD49,54,FALSE)</f>
        <v>810</v>
      </c>
      <c r="C8" s="222">
        <f>VLOOKUP(C1,Minulost!A3:CD49,55,FALSE)</f>
        <v>430</v>
      </c>
      <c r="D8" s="222">
        <f>VLOOKUP(C1,Minulost!A3:CD49,57,FALSE)</f>
        <v>534</v>
      </c>
      <c r="E8" s="222">
        <f>VLOOKUP(C1,Minulost!A3:CD49,59,FALSE)</f>
        <v>830</v>
      </c>
      <c r="F8" s="223">
        <f>VLOOKUP(C1,Minulost!A3:CD49,61,FALSE)</f>
        <v>66</v>
      </c>
      <c r="G8" s="229">
        <f>VLOOKUP(C1,Minulost!A3:CD48,58,FALSE)</f>
        <v>650</v>
      </c>
      <c r="H8" s="230">
        <f>G8-C8</f>
        <v>220</v>
      </c>
      <c r="I8" s="116">
        <f>D8/G8</f>
        <v>0.82153846153846155</v>
      </c>
      <c r="J8" s="229">
        <f>VLOOKUP(C1,Minulost!A3:CD49,60,FALSE)</f>
        <v>600</v>
      </c>
      <c r="K8" s="232">
        <f>J8-D8</f>
        <v>66</v>
      </c>
      <c r="L8" s="116">
        <f>E8/J8</f>
        <v>1.3833333333333333</v>
      </c>
      <c r="M8" s="229">
        <f>VLOOKUP(C1,Minulost!A3:CD49,62,FALSE)</f>
        <v>500</v>
      </c>
      <c r="N8" s="232">
        <f>M8-E8</f>
        <v>-330</v>
      </c>
      <c r="O8" s="116">
        <f>F8/M8</f>
        <v>0.13200000000000001</v>
      </c>
      <c r="P8" s="30">
        <v>180</v>
      </c>
      <c r="Q8" s="28" t="s">
        <v>210</v>
      </c>
      <c r="R8" t="s">
        <v>98</v>
      </c>
    </row>
    <row r="9" spans="1:24" s="6" customFormat="1" ht="13.5" thickBot="1" x14ac:dyDescent="0.25">
      <c r="A9" s="138" t="s">
        <v>112</v>
      </c>
      <c r="B9" s="226" t="s">
        <v>46</v>
      </c>
      <c r="C9" s="227">
        <f>VLOOKUP(C1,Minulost!A3:CD49,75,FALSE)</f>
        <v>160</v>
      </c>
      <c r="D9" s="227">
        <f>VLOOKUP(C1,Minulost!A3:CD49,77,FALSE)</f>
        <v>97</v>
      </c>
      <c r="E9" s="227">
        <f>VLOOKUP(C1,Minulost!A3:CD49,79,FALSE)</f>
        <v>198</v>
      </c>
      <c r="F9" s="258">
        <f>VLOOKUP(C1,Minulost!A3:CD49,81,FALSE)</f>
        <v>215</v>
      </c>
      <c r="G9" s="231">
        <f>VLOOKUP(C1,Minulost!A3:CD49,78,FALSE)</f>
        <v>150</v>
      </c>
      <c r="H9" s="144">
        <f>G9-C9</f>
        <v>-10</v>
      </c>
      <c r="I9" s="145">
        <f>D9/G9</f>
        <v>0.64666666666666661</v>
      </c>
      <c r="J9" s="233">
        <f>VLOOKUP(C1,Minulost!A3:CD49,80,FALSE)</f>
        <v>200</v>
      </c>
      <c r="K9" s="146">
        <f>J9-D9</f>
        <v>103</v>
      </c>
      <c r="L9" s="145">
        <f>E9/J9</f>
        <v>0.99</v>
      </c>
      <c r="M9" s="233">
        <f>VLOOKUP(C1,Minulost!A3:CD49,82,FALSE)</f>
        <v>230</v>
      </c>
      <c r="N9" s="146">
        <f>M9-E9</f>
        <v>32</v>
      </c>
      <c r="O9" s="145">
        <f>F9/M9</f>
        <v>0.93478260869565222</v>
      </c>
      <c r="P9" s="139">
        <v>300</v>
      </c>
      <c r="Q9" s="43" t="s">
        <v>210</v>
      </c>
      <c r="R9" s="6" t="s">
        <v>113</v>
      </c>
    </row>
    <row r="10" spans="1:24" x14ac:dyDescent="0.2">
      <c r="A10" s="42"/>
      <c r="B10" s="42"/>
      <c r="C10" s="42"/>
      <c r="D10" s="42"/>
      <c r="G10" s="42"/>
      <c r="H10" s="10"/>
      <c r="I10" s="42"/>
      <c r="J10" s="42"/>
      <c r="K10" s="42"/>
      <c r="L10" s="42"/>
      <c r="P10" s="42"/>
      <c r="Q10" s="42"/>
      <c r="R10" s="7" t="s">
        <v>114</v>
      </c>
      <c r="S10" s="7"/>
      <c r="T10" s="7"/>
      <c r="U10" s="7"/>
      <c r="V10" s="7"/>
      <c r="W10" s="7"/>
      <c r="X10" s="7"/>
    </row>
  </sheetData>
  <mergeCells count="5">
    <mergeCell ref="G4:I4"/>
    <mergeCell ref="P4:P5"/>
    <mergeCell ref="J4:L4"/>
    <mergeCell ref="M4:O4"/>
    <mergeCell ref="B4:F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1" sqref="C1"/>
    </sheetView>
  </sheetViews>
  <sheetFormatPr defaultRowHeight="12.75" x14ac:dyDescent="0.2"/>
  <cols>
    <col min="2" max="2" width="91.140625" customWidth="1"/>
    <col min="3" max="3" width="12.42578125" customWidth="1"/>
  </cols>
  <sheetData>
    <row r="1" spans="1:3" x14ac:dyDescent="0.2">
      <c r="A1" s="164" t="s">
        <v>179</v>
      </c>
    </row>
    <row r="2" spans="1:3" x14ac:dyDescent="0.2">
      <c r="A2" t="s">
        <v>54</v>
      </c>
      <c r="B2" t="str">
        <f>'1_Analýza'!B2</f>
        <v>Senica</v>
      </c>
      <c r="C2" s="10" t="s">
        <v>68</v>
      </c>
    </row>
    <row r="3" spans="1:3" ht="14.25" customHeight="1" x14ac:dyDescent="0.2">
      <c r="B3" s="165" t="s">
        <v>207</v>
      </c>
      <c r="C3" s="166">
        <v>1430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1"/>
  <sheetViews>
    <sheetView workbookViewId="0">
      <selection activeCell="L15" sqref="L15"/>
    </sheetView>
  </sheetViews>
  <sheetFormatPr defaultRowHeight="12.75" x14ac:dyDescent="0.2"/>
  <cols>
    <col min="1" max="1" width="18" style="141" customWidth="1"/>
    <col min="2" max="2" width="11.28515625" bestFit="1" customWidth="1"/>
  </cols>
  <sheetData>
    <row r="1" spans="1:3" x14ac:dyDescent="0.2">
      <c r="A1" s="147" t="s">
        <v>54</v>
      </c>
      <c r="B1" s="147" t="str">
        <f>'1_Analýza'!B2</f>
        <v>Senica</v>
      </c>
    </row>
    <row r="2" spans="1:3" x14ac:dyDescent="0.2">
      <c r="A2" s="163" t="s">
        <v>151</v>
      </c>
      <c r="B2" s="148">
        <f>'1_Analýza'!A4</f>
        <v>0</v>
      </c>
    </row>
    <row r="3" spans="1:3" x14ac:dyDescent="0.2">
      <c r="A3" s="148" t="s">
        <v>152</v>
      </c>
      <c r="B3" s="148">
        <f>'1_Analýza'!A13</f>
        <v>0</v>
      </c>
    </row>
    <row r="4" spans="1:3" x14ac:dyDescent="0.2">
      <c r="A4" s="148" t="s">
        <v>153</v>
      </c>
      <c r="B4" s="148">
        <f>'1_Analýza'!A22</f>
        <v>0</v>
      </c>
    </row>
    <row r="5" spans="1:3" s="140" customFormat="1" x14ac:dyDescent="0.2">
      <c r="A5" s="149" t="s">
        <v>149</v>
      </c>
      <c r="B5" s="149" t="str">
        <f>'1_Analýza'!A32</f>
        <v xml:space="preserve">V čase spracovania analýzy sa situácia v súvislosti s pandémiou COVID-19 už stabilizuje, najväčšie problémy (obmedzenie pohybu klientov po úrade, vysoká práceneschopnosť zamestnancov, nápory práce v súvislosti s realizáciou projektu "Prvá pomoc" - stále sa meniace podmienky a neúnosné množstvo vybavovanej agendy tohto projektu a ďalšie) sa postupne odbúravajú. T.č. už v súvislosti s pandémiou COVID-19 nie sú v podstate žiadne problémy. </v>
      </c>
    </row>
    <row r="6" spans="1:3" s="140" customFormat="1" x14ac:dyDescent="0.2">
      <c r="A6" s="150" t="s">
        <v>150</v>
      </c>
      <c r="B6" s="150" t="str">
        <f>'1_Analýza'!A42</f>
        <v>Dopady vyhlásenej mimoriadnej situácie sme riešili priebežne a v rámci možností úradu. V prípade potreby budeme vzniknutú situáciu vždy riešiť podľa aktuálnych podmienok a možností úradu.</v>
      </c>
    </row>
    <row r="7" spans="1:3" x14ac:dyDescent="0.2">
      <c r="A7" s="148" t="s">
        <v>61</v>
      </c>
      <c r="B7" s="148">
        <f>'2_Prognóza'!P5</f>
        <v>5.2727272727272727E-2</v>
      </c>
    </row>
    <row r="8" spans="1:3" s="36" customFormat="1" x14ac:dyDescent="0.2">
      <c r="A8" s="148" t="s">
        <v>110</v>
      </c>
      <c r="B8" s="148">
        <f>'2_Prognóza'!P8</f>
        <v>3200</v>
      </c>
      <c r="C8" s="10"/>
    </row>
    <row r="9" spans="1:3" x14ac:dyDescent="0.2">
      <c r="A9" s="148" t="s">
        <v>109</v>
      </c>
      <c r="B9" s="148">
        <f>'2_Prognóza'!P6</f>
        <v>2900</v>
      </c>
    </row>
    <row r="10" spans="1:3" x14ac:dyDescent="0.2">
      <c r="A10" s="148" t="s">
        <v>50</v>
      </c>
      <c r="B10" s="148">
        <f>'2_Prognóza'!P12</f>
        <v>1000</v>
      </c>
    </row>
    <row r="11" spans="1:3" x14ac:dyDescent="0.2">
      <c r="A11" s="151" t="s">
        <v>62</v>
      </c>
      <c r="B11" s="151">
        <f>'2_Prognóza'!P15</f>
        <v>700</v>
      </c>
    </row>
    <row r="12" spans="1:3" x14ac:dyDescent="0.2">
      <c r="A12" s="148" t="s">
        <v>69</v>
      </c>
      <c r="B12" s="152" t="str">
        <f>'3_Investori'!C4</f>
        <v>Áno</v>
      </c>
    </row>
    <row r="13" spans="1:3" x14ac:dyDescent="0.2">
      <c r="A13" s="148" t="s">
        <v>94</v>
      </c>
      <c r="B13" s="148">
        <f>'3_Investori'!E4</f>
        <v>400</v>
      </c>
    </row>
    <row r="14" spans="1:3" x14ac:dyDescent="0.2">
      <c r="A14" s="148" t="s">
        <v>70</v>
      </c>
      <c r="B14" s="152" t="str">
        <f>'3_Investori'!C5</f>
        <v>Nie</v>
      </c>
    </row>
    <row r="15" spans="1:3" x14ac:dyDescent="0.2">
      <c r="A15" s="148" t="s">
        <v>95</v>
      </c>
      <c r="B15" s="148">
        <f>'3_Investori'!E5</f>
        <v>0</v>
      </c>
    </row>
    <row r="16" spans="1:3" x14ac:dyDescent="0.2">
      <c r="A16" s="151" t="s">
        <v>96</v>
      </c>
      <c r="B16" s="151">
        <f>'3_Investori'!B7</f>
        <v>0</v>
      </c>
    </row>
    <row r="17" spans="1:2" s="42" customFormat="1" x14ac:dyDescent="0.2">
      <c r="A17" s="148" t="s">
        <v>116</v>
      </c>
      <c r="B17" s="148">
        <f>'4_Podpora zamestnanosti'!B3</f>
        <v>2</v>
      </c>
    </row>
    <row r="18" spans="1:2" x14ac:dyDescent="0.2">
      <c r="A18" s="148" t="s">
        <v>75</v>
      </c>
      <c r="B18" s="148">
        <f>'4_Podpora zamestnanosti'!P6</f>
        <v>4000</v>
      </c>
    </row>
    <row r="19" spans="1:2" x14ac:dyDescent="0.2">
      <c r="A19" s="148" t="s">
        <v>76</v>
      </c>
      <c r="B19" s="148">
        <f>'4_Podpora zamestnanosti'!P7</f>
        <v>40</v>
      </c>
    </row>
    <row r="20" spans="1:2" s="32" customFormat="1" x14ac:dyDescent="0.2">
      <c r="A20" s="148" t="s">
        <v>99</v>
      </c>
      <c r="B20" s="148">
        <f>'4_Podpora zamestnanosti'!P8</f>
        <v>180</v>
      </c>
    </row>
    <row r="21" spans="1:2" s="42" customFormat="1" x14ac:dyDescent="0.2">
      <c r="A21" s="151" t="s">
        <v>115</v>
      </c>
      <c r="B21" s="151">
        <f>'4_Podpora zamestnanosti'!P9</f>
        <v>300</v>
      </c>
    </row>
  </sheetData>
  <sheetProtection algorithmName="SHA-512" hashValue="6qCOAYLKAM2sgFJgMgGYtDW1dE9KBba/m+qUHGR5yzgqyX51G2+egncdDxrIBQ6SK/vOMNF1jIBiNajD5CWGng==" saltValue="4OsfoP81QDO+s+5PVAb0qg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54"/>
  <sheetViews>
    <sheetView workbookViewId="0">
      <pane xSplit="1" topLeftCell="BT1" activePane="topRight" state="frozen"/>
      <selection pane="topRight" activeCell="CF3" sqref="CF3"/>
    </sheetView>
  </sheetViews>
  <sheetFormatPr defaultRowHeight="12.75" x14ac:dyDescent="0.2"/>
  <cols>
    <col min="1" max="1" width="23.140625" customWidth="1"/>
    <col min="2" max="2" width="12" style="36" customWidth="1"/>
    <col min="3" max="3" width="11.5703125" style="2" customWidth="1"/>
    <col min="4" max="4" width="11.28515625" style="36" customWidth="1"/>
    <col min="5" max="6" width="11.28515625" style="45" customWidth="1"/>
    <col min="7" max="9" width="13.28515625" style="2" customWidth="1"/>
    <col min="10" max="11" width="13.28515625" style="34" customWidth="1"/>
    <col min="12" max="15" width="13.28515625" style="45" customWidth="1"/>
    <col min="16" max="16" width="11.5703125" customWidth="1"/>
    <col min="17" max="17" width="11.28515625" customWidth="1"/>
    <col min="18" max="18" width="11" style="2" customWidth="1"/>
    <col min="19" max="20" width="11" style="35" customWidth="1"/>
    <col min="21" max="22" width="11" style="45" customWidth="1"/>
    <col min="23" max="23" width="11" style="189" customWidth="1"/>
    <col min="24" max="24" width="11" style="45" customWidth="1"/>
    <col min="25" max="25" width="11" customWidth="1"/>
    <col min="26" max="26" width="11.42578125" style="2" customWidth="1"/>
    <col min="27" max="27" width="11.140625" style="2" customWidth="1"/>
    <col min="28" max="29" width="11.140625" style="35" customWidth="1"/>
    <col min="30" max="33" width="11.140625" style="45" customWidth="1"/>
    <col min="34" max="34" width="10" customWidth="1"/>
    <col min="35" max="35" width="10.140625" customWidth="1"/>
    <col min="36" max="36" width="10.85546875" style="2" customWidth="1"/>
    <col min="37" max="38" width="10.85546875" style="35" customWidth="1"/>
    <col min="39" max="40" width="10.85546875" style="45" customWidth="1"/>
    <col min="41" max="41" width="10.85546875" style="189" customWidth="1"/>
    <col min="42" max="42" width="10.85546875" style="45" customWidth="1"/>
    <col min="43" max="43" width="13.7109375" style="2" customWidth="1"/>
    <col min="44" max="45" width="14.42578125" style="22" customWidth="1"/>
    <col min="46" max="46" width="12.7109375" customWidth="1"/>
    <col min="47" max="47" width="13.28515625" style="35" customWidth="1"/>
    <col min="48" max="48" width="12.7109375" style="35" customWidth="1"/>
    <col min="49" max="49" width="14" style="45" customWidth="1"/>
    <col min="50" max="50" width="12.7109375" style="45" customWidth="1"/>
    <col min="51" max="51" width="12.7109375" style="189" customWidth="1"/>
    <col min="52" max="52" width="12.7109375" style="45" customWidth="1"/>
    <col min="53" max="56" width="15.85546875" style="22" customWidth="1"/>
    <col min="57" max="58" width="15.85546875" style="36" customWidth="1"/>
    <col min="59" max="60" width="15.85546875" style="45" customWidth="1"/>
    <col min="61" max="61" width="15.85546875" style="189" customWidth="1"/>
    <col min="62" max="62" width="15.85546875" style="45" customWidth="1"/>
    <col min="63" max="63" width="11.5703125" style="2" customWidth="1"/>
    <col min="64" max="64" width="12.7109375" style="2" customWidth="1"/>
    <col min="65" max="65" width="12.140625" style="2" customWidth="1"/>
    <col min="66" max="67" width="12.140625" style="36" customWidth="1"/>
    <col min="68" max="71" width="12.140625" style="45" customWidth="1"/>
    <col min="72" max="72" width="12.140625" style="37" customWidth="1"/>
    <col min="73" max="74" width="12.140625" style="45" customWidth="1"/>
    <col min="75" max="75" width="10.42578125" style="42" bestFit="1" customWidth="1"/>
    <col min="76" max="77" width="10.85546875" style="42" customWidth="1"/>
    <col min="78" max="78" width="11" customWidth="1"/>
    <col min="79" max="82" width="11" style="45" customWidth="1"/>
  </cols>
  <sheetData>
    <row r="1" spans="1:82" s="2" customFormat="1" ht="13.5" thickBot="1" x14ac:dyDescent="0.25">
      <c r="A1" s="46">
        <v>1</v>
      </c>
      <c r="B1" s="46">
        <v>2</v>
      </c>
      <c r="C1" s="46">
        <v>3</v>
      </c>
      <c r="D1" s="46">
        <v>4</v>
      </c>
      <c r="E1" s="46">
        <v>5</v>
      </c>
      <c r="F1" s="46">
        <v>6</v>
      </c>
      <c r="G1" s="46">
        <v>7</v>
      </c>
      <c r="H1" s="46">
        <v>8</v>
      </c>
      <c r="I1" s="46">
        <v>9</v>
      </c>
      <c r="J1" s="46">
        <v>10</v>
      </c>
      <c r="K1" s="46">
        <v>11</v>
      </c>
      <c r="L1" s="46">
        <v>12</v>
      </c>
      <c r="M1" s="46">
        <v>13</v>
      </c>
      <c r="N1" s="46">
        <v>14</v>
      </c>
      <c r="O1" s="46">
        <v>15</v>
      </c>
      <c r="P1" s="46">
        <v>16</v>
      </c>
      <c r="Q1" s="46">
        <v>17</v>
      </c>
      <c r="R1" s="46">
        <v>18</v>
      </c>
      <c r="S1" s="46">
        <v>19</v>
      </c>
      <c r="T1" s="46">
        <v>20</v>
      </c>
      <c r="U1" s="46">
        <v>21</v>
      </c>
      <c r="V1" s="46">
        <v>22</v>
      </c>
      <c r="W1" s="184">
        <v>23</v>
      </c>
      <c r="X1" s="46">
        <v>24</v>
      </c>
      <c r="Y1" s="46">
        <v>25</v>
      </c>
      <c r="Z1" s="46">
        <v>26</v>
      </c>
      <c r="AA1" s="46">
        <v>27</v>
      </c>
      <c r="AB1" s="46">
        <v>28</v>
      </c>
      <c r="AC1" s="46">
        <v>29</v>
      </c>
      <c r="AD1" s="46">
        <v>30</v>
      </c>
      <c r="AE1" s="46">
        <v>31</v>
      </c>
      <c r="AF1" s="46">
        <v>32</v>
      </c>
      <c r="AG1" s="46">
        <v>33</v>
      </c>
      <c r="AH1" s="46">
        <v>34</v>
      </c>
      <c r="AI1" s="46">
        <v>35</v>
      </c>
      <c r="AJ1" s="46">
        <v>36</v>
      </c>
      <c r="AK1" s="46">
        <v>37</v>
      </c>
      <c r="AL1" s="46">
        <v>38</v>
      </c>
      <c r="AM1" s="46">
        <v>39</v>
      </c>
      <c r="AN1" s="46">
        <v>40</v>
      </c>
      <c r="AO1" s="184">
        <v>41</v>
      </c>
      <c r="AP1" s="46">
        <v>42</v>
      </c>
      <c r="AQ1" s="46">
        <v>43</v>
      </c>
      <c r="AR1" s="46">
        <v>44</v>
      </c>
      <c r="AS1" s="46">
        <v>45</v>
      </c>
      <c r="AT1" s="46">
        <v>46</v>
      </c>
      <c r="AU1" s="46">
        <v>47</v>
      </c>
      <c r="AV1" s="46">
        <v>48</v>
      </c>
      <c r="AW1" s="46">
        <v>49</v>
      </c>
      <c r="AX1" s="46">
        <v>50</v>
      </c>
      <c r="AY1" s="184">
        <v>51</v>
      </c>
      <c r="AZ1" s="46">
        <v>52</v>
      </c>
      <c r="BA1" s="46">
        <v>53</v>
      </c>
      <c r="BB1" s="46">
        <v>54</v>
      </c>
      <c r="BC1" s="46">
        <v>55</v>
      </c>
      <c r="BD1" s="46">
        <v>56</v>
      </c>
      <c r="BE1" s="46">
        <v>57</v>
      </c>
      <c r="BF1" s="46">
        <v>58</v>
      </c>
      <c r="BG1" s="46">
        <v>59</v>
      </c>
      <c r="BH1" s="46">
        <v>60</v>
      </c>
      <c r="BI1" s="184">
        <v>61</v>
      </c>
      <c r="BJ1" s="46">
        <v>62</v>
      </c>
      <c r="BK1" s="46">
        <v>63</v>
      </c>
      <c r="BL1" s="46">
        <v>64</v>
      </c>
      <c r="BM1" s="46">
        <v>65</v>
      </c>
      <c r="BN1" s="46">
        <v>66</v>
      </c>
      <c r="BO1" s="46">
        <v>67</v>
      </c>
      <c r="BP1" s="46">
        <v>68</v>
      </c>
      <c r="BQ1" s="46">
        <v>69</v>
      </c>
      <c r="BR1" s="46">
        <v>70</v>
      </c>
      <c r="BS1" s="46">
        <v>71</v>
      </c>
      <c r="BT1" s="46">
        <v>72</v>
      </c>
      <c r="BU1" s="46">
        <v>73</v>
      </c>
      <c r="BV1" s="46">
        <v>74</v>
      </c>
      <c r="BW1" s="46">
        <v>75</v>
      </c>
      <c r="BX1" s="46">
        <v>76</v>
      </c>
      <c r="BY1" s="46">
        <v>77</v>
      </c>
      <c r="BZ1" s="46">
        <v>78</v>
      </c>
      <c r="CA1" s="46">
        <v>79</v>
      </c>
      <c r="CB1" s="46">
        <v>80</v>
      </c>
      <c r="CC1" s="46">
        <v>81</v>
      </c>
      <c r="CD1" s="46">
        <v>82</v>
      </c>
    </row>
    <row r="2" spans="1:82" ht="114" customHeight="1" thickBot="1" x14ac:dyDescent="0.25">
      <c r="A2" s="103" t="s">
        <v>125</v>
      </c>
      <c r="B2" s="104" t="s">
        <v>126</v>
      </c>
      <c r="C2" s="105" t="s">
        <v>127</v>
      </c>
      <c r="D2" s="105" t="s">
        <v>128</v>
      </c>
      <c r="E2" s="105" t="s">
        <v>129</v>
      </c>
      <c r="F2" s="170" t="s">
        <v>180</v>
      </c>
      <c r="G2" s="106" t="s">
        <v>130</v>
      </c>
      <c r="H2" s="107" t="s">
        <v>131</v>
      </c>
      <c r="I2" s="107" t="s">
        <v>132</v>
      </c>
      <c r="J2" s="107" t="s">
        <v>133</v>
      </c>
      <c r="K2" s="107" t="s">
        <v>134</v>
      </c>
      <c r="L2" s="107" t="s">
        <v>135</v>
      </c>
      <c r="M2" s="107" t="s">
        <v>136</v>
      </c>
      <c r="N2" s="107" t="s">
        <v>181</v>
      </c>
      <c r="O2" s="107" t="s">
        <v>182</v>
      </c>
      <c r="P2" s="153" t="s">
        <v>137</v>
      </c>
      <c r="Q2" s="109" t="s">
        <v>60</v>
      </c>
      <c r="R2" s="109" t="s">
        <v>138</v>
      </c>
      <c r="S2" s="109" t="s">
        <v>104</v>
      </c>
      <c r="T2" s="109" t="s">
        <v>139</v>
      </c>
      <c r="U2" s="109" t="s">
        <v>159</v>
      </c>
      <c r="V2" s="109" t="s">
        <v>158</v>
      </c>
      <c r="W2" s="109" t="s">
        <v>183</v>
      </c>
      <c r="X2" s="109" t="s">
        <v>184</v>
      </c>
      <c r="Y2" s="154" t="s">
        <v>157</v>
      </c>
      <c r="Z2" s="110" t="s">
        <v>73</v>
      </c>
      <c r="AA2" s="110" t="s">
        <v>140</v>
      </c>
      <c r="AB2" s="110" t="s">
        <v>105</v>
      </c>
      <c r="AC2" s="110" t="s">
        <v>156</v>
      </c>
      <c r="AD2" s="110" t="s">
        <v>118</v>
      </c>
      <c r="AE2" s="110" t="s">
        <v>155</v>
      </c>
      <c r="AF2" s="193" t="s">
        <v>185</v>
      </c>
      <c r="AG2" s="192" t="s">
        <v>197</v>
      </c>
      <c r="AH2" s="155" t="s">
        <v>90</v>
      </c>
      <c r="AI2" s="111" t="s">
        <v>86</v>
      </c>
      <c r="AJ2" s="111" t="s">
        <v>160</v>
      </c>
      <c r="AK2" s="111" t="s">
        <v>106</v>
      </c>
      <c r="AL2" s="111" t="s">
        <v>161</v>
      </c>
      <c r="AM2" s="111" t="s">
        <v>119</v>
      </c>
      <c r="AN2" s="111" t="s">
        <v>154</v>
      </c>
      <c r="AO2" s="111" t="s">
        <v>186</v>
      </c>
      <c r="AP2" s="111" t="s">
        <v>187</v>
      </c>
      <c r="AQ2" s="156" t="s">
        <v>162</v>
      </c>
      <c r="AR2" s="112" t="s">
        <v>89</v>
      </c>
      <c r="AS2" s="112" t="s">
        <v>87</v>
      </c>
      <c r="AT2" s="112" t="s">
        <v>146</v>
      </c>
      <c r="AU2" s="112" t="s">
        <v>107</v>
      </c>
      <c r="AV2" s="112" t="s">
        <v>147</v>
      </c>
      <c r="AW2" s="112" t="s">
        <v>120</v>
      </c>
      <c r="AX2" s="112" t="s">
        <v>148</v>
      </c>
      <c r="AY2" s="112" t="s">
        <v>188</v>
      </c>
      <c r="AZ2" s="259" t="s">
        <v>189</v>
      </c>
      <c r="BA2" s="261" t="s">
        <v>163</v>
      </c>
      <c r="BB2" s="113" t="s">
        <v>164</v>
      </c>
      <c r="BC2" s="113" t="s">
        <v>88</v>
      </c>
      <c r="BD2" s="113" t="s">
        <v>145</v>
      </c>
      <c r="BE2" s="113" t="s">
        <v>108</v>
      </c>
      <c r="BF2" s="113" t="s">
        <v>144</v>
      </c>
      <c r="BG2" s="113" t="s">
        <v>121</v>
      </c>
      <c r="BH2" s="113" t="s">
        <v>143</v>
      </c>
      <c r="BI2" s="113" t="s">
        <v>190</v>
      </c>
      <c r="BJ2" s="262" t="s">
        <v>191</v>
      </c>
      <c r="BK2" s="260" t="s">
        <v>165</v>
      </c>
      <c r="BL2" s="114" t="s">
        <v>166</v>
      </c>
      <c r="BM2" s="114" t="s">
        <v>167</v>
      </c>
      <c r="BN2" s="114" t="s">
        <v>168</v>
      </c>
      <c r="BO2" s="114" t="s">
        <v>169</v>
      </c>
      <c r="BP2" s="114" t="s">
        <v>170</v>
      </c>
      <c r="BQ2" s="114" t="s">
        <v>171</v>
      </c>
      <c r="BR2" s="114" t="s">
        <v>192</v>
      </c>
      <c r="BS2" s="114" t="s">
        <v>193</v>
      </c>
      <c r="BT2" s="104" t="s">
        <v>141</v>
      </c>
      <c r="BU2" s="105" t="s">
        <v>124</v>
      </c>
      <c r="BV2" s="170" t="s">
        <v>194</v>
      </c>
      <c r="BW2" s="106" t="s">
        <v>172</v>
      </c>
      <c r="BX2" s="107" t="s">
        <v>142</v>
      </c>
      <c r="BY2" s="107" t="s">
        <v>173</v>
      </c>
      <c r="BZ2" s="107" t="s">
        <v>174</v>
      </c>
      <c r="CA2" s="107" t="s">
        <v>175</v>
      </c>
      <c r="CB2" s="107" t="s">
        <v>176</v>
      </c>
      <c r="CC2" s="254" t="s">
        <v>195</v>
      </c>
      <c r="CD2" s="108" t="s">
        <v>196</v>
      </c>
    </row>
    <row r="3" spans="1:82" x14ac:dyDescent="0.2">
      <c r="A3" s="72" t="s">
        <v>0</v>
      </c>
      <c r="B3" s="73">
        <v>243644</v>
      </c>
      <c r="C3" s="74">
        <v>244007</v>
      </c>
      <c r="D3" s="74">
        <v>249981</v>
      </c>
      <c r="E3" s="74">
        <v>249637</v>
      </c>
      <c r="F3" s="171">
        <v>244401</v>
      </c>
      <c r="G3" s="75">
        <v>7358</v>
      </c>
      <c r="H3" s="76">
        <v>6226</v>
      </c>
      <c r="I3" s="76">
        <v>6258</v>
      </c>
      <c r="J3" s="76">
        <v>6883</v>
      </c>
      <c r="K3" s="76">
        <v>5900</v>
      </c>
      <c r="L3" s="76">
        <v>10903</v>
      </c>
      <c r="M3" s="76">
        <v>11800</v>
      </c>
      <c r="N3" s="76">
        <v>10009</v>
      </c>
      <c r="O3" s="175">
        <v>11500</v>
      </c>
      <c r="P3" s="77">
        <v>2162</v>
      </c>
      <c r="Q3" s="78">
        <v>1597</v>
      </c>
      <c r="R3" s="78">
        <v>1662</v>
      </c>
      <c r="S3" s="78">
        <v>1513</v>
      </c>
      <c r="T3" s="78">
        <v>1350</v>
      </c>
      <c r="U3" s="78">
        <v>2486</v>
      </c>
      <c r="V3" s="78">
        <v>1960</v>
      </c>
      <c r="W3" s="185">
        <v>3834</v>
      </c>
      <c r="X3" s="180">
        <v>2580</v>
      </c>
      <c r="Y3" s="75">
        <v>1654</v>
      </c>
      <c r="Z3" s="76">
        <v>1306</v>
      </c>
      <c r="AA3" s="76">
        <v>1154</v>
      </c>
      <c r="AB3" s="76">
        <v>1440</v>
      </c>
      <c r="AC3" s="76">
        <v>1200</v>
      </c>
      <c r="AD3" s="76">
        <v>2215</v>
      </c>
      <c r="AE3" s="76">
        <v>1750</v>
      </c>
      <c r="AF3" s="167">
        <v>1751</v>
      </c>
      <c r="AG3" s="175">
        <v>2150</v>
      </c>
      <c r="AH3" s="77">
        <v>27471</v>
      </c>
      <c r="AI3" s="78">
        <v>43443</v>
      </c>
      <c r="AJ3" s="78">
        <v>1940</v>
      </c>
      <c r="AK3" s="78">
        <v>44443</v>
      </c>
      <c r="AL3" s="78">
        <v>45500</v>
      </c>
      <c r="AM3" s="78">
        <v>30122</v>
      </c>
      <c r="AN3" s="78">
        <v>37300</v>
      </c>
      <c r="AO3" s="185">
        <v>32671</v>
      </c>
      <c r="AP3" s="180">
        <v>32700</v>
      </c>
      <c r="AQ3" s="79">
        <v>127</v>
      </c>
      <c r="AR3" s="80">
        <v>145</v>
      </c>
      <c r="AS3" s="80">
        <v>219</v>
      </c>
      <c r="AT3" s="80">
        <v>150</v>
      </c>
      <c r="AU3" s="80">
        <v>357</v>
      </c>
      <c r="AV3" s="80">
        <v>250</v>
      </c>
      <c r="AW3" s="80">
        <v>1154</v>
      </c>
      <c r="AX3" s="80">
        <v>180</v>
      </c>
      <c r="AY3" s="202">
        <v>26</v>
      </c>
      <c r="AZ3" s="198">
        <v>45</v>
      </c>
      <c r="BA3" s="81">
        <v>229</v>
      </c>
      <c r="BB3" s="82">
        <v>229</v>
      </c>
      <c r="BC3" s="82">
        <v>171</v>
      </c>
      <c r="BD3" s="82">
        <v>250</v>
      </c>
      <c r="BE3" s="82">
        <v>187</v>
      </c>
      <c r="BF3" s="82">
        <v>180</v>
      </c>
      <c r="BG3" s="82">
        <v>372</v>
      </c>
      <c r="BH3" s="82">
        <v>110</v>
      </c>
      <c r="BI3" s="206">
        <v>14</v>
      </c>
      <c r="BJ3" s="263">
        <v>55</v>
      </c>
      <c r="BK3" s="210">
        <v>7919</v>
      </c>
      <c r="BL3" s="142">
        <v>6899</v>
      </c>
      <c r="BM3" s="142">
        <v>6719</v>
      </c>
      <c r="BN3" s="142">
        <v>7343</v>
      </c>
      <c r="BO3" s="142">
        <v>6790</v>
      </c>
      <c r="BP3" s="142">
        <v>11298</v>
      </c>
      <c r="BQ3" s="142">
        <v>12300</v>
      </c>
      <c r="BR3" s="210">
        <v>10335</v>
      </c>
      <c r="BS3" s="210">
        <v>11950</v>
      </c>
      <c r="BT3" s="62">
        <v>251214</v>
      </c>
      <c r="BU3" s="47">
        <v>248895</v>
      </c>
      <c r="BV3" s="171"/>
      <c r="BW3" s="157">
        <v>95</v>
      </c>
      <c r="BX3" s="143">
        <v>50</v>
      </c>
      <c r="BY3" s="143">
        <v>46</v>
      </c>
      <c r="BZ3" s="143">
        <v>60</v>
      </c>
      <c r="CA3" s="143">
        <v>170</v>
      </c>
      <c r="CB3" s="143">
        <v>113</v>
      </c>
      <c r="CC3" s="255">
        <v>228</v>
      </c>
      <c r="CD3" s="158">
        <v>185</v>
      </c>
    </row>
    <row r="4" spans="1:82" x14ac:dyDescent="0.2">
      <c r="A4" s="59" t="s">
        <v>1</v>
      </c>
      <c r="B4" s="62">
        <v>37981</v>
      </c>
      <c r="C4" s="47">
        <v>37839</v>
      </c>
      <c r="D4" s="47">
        <v>38772</v>
      </c>
      <c r="E4" s="47">
        <v>38920</v>
      </c>
      <c r="F4" s="172">
        <v>38219</v>
      </c>
      <c r="G4" s="63">
        <v>1132</v>
      </c>
      <c r="H4" s="48">
        <v>1094</v>
      </c>
      <c r="I4" s="48">
        <v>900</v>
      </c>
      <c r="J4" s="48">
        <v>1284</v>
      </c>
      <c r="K4" s="48">
        <v>990</v>
      </c>
      <c r="L4" s="48">
        <v>2095</v>
      </c>
      <c r="M4" s="48">
        <v>2400</v>
      </c>
      <c r="N4" s="48">
        <v>1765</v>
      </c>
      <c r="O4" s="176">
        <v>2200</v>
      </c>
      <c r="P4" s="64">
        <v>325</v>
      </c>
      <c r="Q4" s="54">
        <v>197</v>
      </c>
      <c r="R4" s="54">
        <v>200</v>
      </c>
      <c r="S4" s="54">
        <v>161</v>
      </c>
      <c r="T4" s="54">
        <v>150</v>
      </c>
      <c r="U4" s="54">
        <v>431</v>
      </c>
      <c r="V4" s="54">
        <v>250</v>
      </c>
      <c r="W4" s="186">
        <v>555</v>
      </c>
      <c r="X4" s="181">
        <v>600</v>
      </c>
      <c r="Y4" s="66">
        <v>359</v>
      </c>
      <c r="Z4" s="55">
        <v>283</v>
      </c>
      <c r="AA4" s="55">
        <v>200</v>
      </c>
      <c r="AB4" s="55">
        <v>364</v>
      </c>
      <c r="AC4" s="55">
        <v>220</v>
      </c>
      <c r="AD4" s="55">
        <v>517</v>
      </c>
      <c r="AE4" s="55">
        <v>500</v>
      </c>
      <c r="AF4" s="194">
        <v>378</v>
      </c>
      <c r="AG4" s="190">
        <v>490</v>
      </c>
      <c r="AH4" s="64">
        <v>3664</v>
      </c>
      <c r="AI4" s="54">
        <v>4120</v>
      </c>
      <c r="AJ4" s="54">
        <v>1900</v>
      </c>
      <c r="AK4" s="54">
        <v>6092</v>
      </c>
      <c r="AL4" s="54">
        <v>1900</v>
      </c>
      <c r="AM4" s="54">
        <v>3496</v>
      </c>
      <c r="AN4" s="54">
        <v>3500</v>
      </c>
      <c r="AO4" s="186">
        <v>3990</v>
      </c>
      <c r="AP4" s="181">
        <v>3000</v>
      </c>
      <c r="AQ4" s="67">
        <v>56</v>
      </c>
      <c r="AR4" s="50">
        <v>76</v>
      </c>
      <c r="AS4" s="50">
        <v>143</v>
      </c>
      <c r="AT4" s="50">
        <v>48</v>
      </c>
      <c r="AU4" s="50">
        <v>145</v>
      </c>
      <c r="AV4" s="50">
        <v>48</v>
      </c>
      <c r="AW4" s="50">
        <v>523</v>
      </c>
      <c r="AX4" s="50">
        <v>40</v>
      </c>
      <c r="AY4" s="203">
        <v>114</v>
      </c>
      <c r="AZ4" s="199">
        <v>40</v>
      </c>
      <c r="BA4" s="69">
        <v>217</v>
      </c>
      <c r="BB4" s="51">
        <v>219</v>
      </c>
      <c r="BC4" s="51">
        <v>202</v>
      </c>
      <c r="BD4" s="51">
        <v>200</v>
      </c>
      <c r="BE4" s="51">
        <v>134</v>
      </c>
      <c r="BF4" s="51">
        <v>120</v>
      </c>
      <c r="BG4" s="51">
        <v>223</v>
      </c>
      <c r="BH4" s="51">
        <v>35</v>
      </c>
      <c r="BI4" s="207">
        <v>0</v>
      </c>
      <c r="BJ4" s="264">
        <v>20</v>
      </c>
      <c r="BK4" s="214">
        <v>1390</v>
      </c>
      <c r="BL4" s="56">
        <v>1291</v>
      </c>
      <c r="BM4" s="56">
        <v>1090</v>
      </c>
      <c r="BN4" s="56">
        <v>1484</v>
      </c>
      <c r="BO4" s="56">
        <v>1190</v>
      </c>
      <c r="BP4" s="56">
        <v>2231</v>
      </c>
      <c r="BQ4" s="56">
        <v>2550</v>
      </c>
      <c r="BR4" s="214">
        <v>1869</v>
      </c>
      <c r="BS4" s="211">
        <v>2300</v>
      </c>
      <c r="BT4" s="62">
        <v>38992</v>
      </c>
      <c r="BU4" s="47">
        <v>38879</v>
      </c>
      <c r="BV4" s="172"/>
      <c r="BW4" s="66">
        <v>36</v>
      </c>
      <c r="BX4" s="55">
        <v>25</v>
      </c>
      <c r="BY4" s="55">
        <v>28</v>
      </c>
      <c r="BZ4" s="53">
        <v>25</v>
      </c>
      <c r="CA4" s="53">
        <v>60</v>
      </c>
      <c r="CB4" s="53">
        <v>25</v>
      </c>
      <c r="CC4" s="256">
        <v>78</v>
      </c>
      <c r="CD4" s="71">
        <v>25</v>
      </c>
    </row>
    <row r="5" spans="1:82" x14ac:dyDescent="0.2">
      <c r="A5" s="59" t="s">
        <v>2</v>
      </c>
      <c r="B5" s="62">
        <v>69373</v>
      </c>
      <c r="C5" s="47">
        <v>69290</v>
      </c>
      <c r="D5" s="47">
        <v>70914</v>
      </c>
      <c r="E5" s="47">
        <v>71128</v>
      </c>
      <c r="F5" s="172">
        <v>69950</v>
      </c>
      <c r="G5" s="63">
        <v>2224</v>
      </c>
      <c r="H5" s="48">
        <v>1885</v>
      </c>
      <c r="I5" s="48">
        <v>1892</v>
      </c>
      <c r="J5" s="48">
        <v>2026</v>
      </c>
      <c r="K5" s="48">
        <v>1830</v>
      </c>
      <c r="L5" s="48">
        <v>3956</v>
      </c>
      <c r="M5" s="48">
        <v>3700</v>
      </c>
      <c r="N5" s="48">
        <v>3685</v>
      </c>
      <c r="O5" s="176">
        <v>3900</v>
      </c>
      <c r="P5" s="64">
        <v>390</v>
      </c>
      <c r="Q5" s="54">
        <v>267</v>
      </c>
      <c r="R5" s="54">
        <v>329</v>
      </c>
      <c r="S5" s="54">
        <v>252</v>
      </c>
      <c r="T5" s="54">
        <v>230</v>
      </c>
      <c r="U5" s="54">
        <v>706</v>
      </c>
      <c r="V5" s="54">
        <v>340</v>
      </c>
      <c r="W5" s="186">
        <v>1174</v>
      </c>
      <c r="X5" s="181">
        <v>1080</v>
      </c>
      <c r="Y5" s="66">
        <v>569</v>
      </c>
      <c r="Z5" s="55">
        <v>433</v>
      </c>
      <c r="AA5" s="55">
        <v>455</v>
      </c>
      <c r="AB5" s="55">
        <v>488</v>
      </c>
      <c r="AC5" s="55">
        <v>350</v>
      </c>
      <c r="AD5" s="55">
        <v>957</v>
      </c>
      <c r="AE5" s="55">
        <v>860</v>
      </c>
      <c r="AF5" s="194">
        <v>753</v>
      </c>
      <c r="AG5" s="190">
        <v>900</v>
      </c>
      <c r="AH5" s="64">
        <v>4122</v>
      </c>
      <c r="AI5" s="54">
        <v>3653</v>
      </c>
      <c r="AJ5" s="54">
        <v>4100</v>
      </c>
      <c r="AK5" s="54">
        <v>6919</v>
      </c>
      <c r="AL5" s="54">
        <v>4100</v>
      </c>
      <c r="AM5" s="54">
        <v>4816</v>
      </c>
      <c r="AN5" s="54">
        <v>3800</v>
      </c>
      <c r="AO5" s="186">
        <v>5340</v>
      </c>
      <c r="AP5" s="181">
        <v>3800</v>
      </c>
      <c r="AQ5" s="67">
        <v>140</v>
      </c>
      <c r="AR5" s="50">
        <v>140</v>
      </c>
      <c r="AS5" s="50">
        <v>166</v>
      </c>
      <c r="AT5" s="50">
        <v>144</v>
      </c>
      <c r="AU5" s="50">
        <v>149</v>
      </c>
      <c r="AV5" s="50">
        <v>145</v>
      </c>
      <c r="AW5" s="50">
        <v>366</v>
      </c>
      <c r="AX5" s="50">
        <v>55</v>
      </c>
      <c r="AY5" s="203">
        <v>48</v>
      </c>
      <c r="AZ5" s="199">
        <v>50</v>
      </c>
      <c r="BA5" s="69">
        <v>235</v>
      </c>
      <c r="BB5" s="51">
        <v>342</v>
      </c>
      <c r="BC5" s="51">
        <v>349</v>
      </c>
      <c r="BD5" s="51">
        <v>245</v>
      </c>
      <c r="BE5" s="51">
        <v>333</v>
      </c>
      <c r="BF5" s="51">
        <v>260</v>
      </c>
      <c r="BG5" s="51">
        <v>755</v>
      </c>
      <c r="BH5" s="51">
        <v>100</v>
      </c>
      <c r="BI5" s="207">
        <v>105</v>
      </c>
      <c r="BJ5" s="264">
        <v>100</v>
      </c>
      <c r="BK5" s="214">
        <v>2423</v>
      </c>
      <c r="BL5" s="56">
        <v>2149</v>
      </c>
      <c r="BM5" s="56">
        <v>2059</v>
      </c>
      <c r="BN5" s="56">
        <v>2308</v>
      </c>
      <c r="BO5" s="56">
        <v>2000</v>
      </c>
      <c r="BP5" s="56">
        <v>4123</v>
      </c>
      <c r="BQ5" s="56">
        <v>3900</v>
      </c>
      <c r="BR5" s="214">
        <v>3823</v>
      </c>
      <c r="BS5" s="211">
        <v>4050</v>
      </c>
      <c r="BT5" s="62">
        <v>71295</v>
      </c>
      <c r="BU5" s="47">
        <v>71075</v>
      </c>
      <c r="BV5" s="172"/>
      <c r="BW5" s="66">
        <v>52</v>
      </c>
      <c r="BX5" s="55" t="s">
        <v>91</v>
      </c>
      <c r="BY5" s="55">
        <v>39</v>
      </c>
      <c r="BZ5" s="53">
        <v>52</v>
      </c>
      <c r="CA5" s="53">
        <v>74</v>
      </c>
      <c r="CB5" s="53">
        <v>30</v>
      </c>
      <c r="CC5" s="256">
        <v>89</v>
      </c>
      <c r="CD5" s="71">
        <v>15</v>
      </c>
    </row>
    <row r="6" spans="1:82" x14ac:dyDescent="0.2">
      <c r="A6" s="59" t="s">
        <v>3</v>
      </c>
      <c r="B6" s="62">
        <v>63845</v>
      </c>
      <c r="C6" s="47">
        <v>60859</v>
      </c>
      <c r="D6" s="47">
        <v>59826</v>
      </c>
      <c r="E6" s="47">
        <v>60149</v>
      </c>
      <c r="F6" s="172">
        <v>61048</v>
      </c>
      <c r="G6" s="63">
        <v>1856</v>
      </c>
      <c r="H6" s="48">
        <v>1465</v>
      </c>
      <c r="I6" s="48">
        <v>1496</v>
      </c>
      <c r="J6" s="48">
        <v>1289</v>
      </c>
      <c r="K6" s="48">
        <v>1315</v>
      </c>
      <c r="L6" s="48">
        <v>3843</v>
      </c>
      <c r="M6" s="48">
        <v>4500</v>
      </c>
      <c r="N6" s="48">
        <v>3055</v>
      </c>
      <c r="O6" s="176">
        <v>3800</v>
      </c>
      <c r="P6" s="64">
        <v>657</v>
      </c>
      <c r="Q6" s="54">
        <v>405</v>
      </c>
      <c r="R6" s="54">
        <v>450</v>
      </c>
      <c r="S6" s="54">
        <v>367</v>
      </c>
      <c r="T6" s="54">
        <v>345</v>
      </c>
      <c r="U6" s="54">
        <v>738</v>
      </c>
      <c r="V6" s="54">
        <v>1100</v>
      </c>
      <c r="W6" s="186">
        <v>1276</v>
      </c>
      <c r="X6" s="181">
        <v>1400</v>
      </c>
      <c r="Y6" s="66">
        <v>533</v>
      </c>
      <c r="Z6" s="55">
        <v>431</v>
      </c>
      <c r="AA6" s="55">
        <v>400</v>
      </c>
      <c r="AB6" s="55">
        <v>403</v>
      </c>
      <c r="AC6" s="55">
        <v>365</v>
      </c>
      <c r="AD6" s="55">
        <v>954</v>
      </c>
      <c r="AE6" s="55">
        <v>1000</v>
      </c>
      <c r="AF6" s="194">
        <v>651</v>
      </c>
      <c r="AG6" s="190">
        <v>900</v>
      </c>
      <c r="AH6" s="64">
        <v>4978</v>
      </c>
      <c r="AI6" s="54">
        <v>5695</v>
      </c>
      <c r="AJ6" s="54">
        <v>5050</v>
      </c>
      <c r="AK6" s="54">
        <v>6124</v>
      </c>
      <c r="AL6" s="54">
        <v>5100</v>
      </c>
      <c r="AM6" s="54">
        <v>4727</v>
      </c>
      <c r="AN6" s="54">
        <v>2100</v>
      </c>
      <c r="AO6" s="186">
        <v>4636</v>
      </c>
      <c r="AP6" s="181">
        <v>4000</v>
      </c>
      <c r="AQ6" s="67">
        <v>205</v>
      </c>
      <c r="AR6" s="50">
        <v>208</v>
      </c>
      <c r="AS6" s="50">
        <v>208</v>
      </c>
      <c r="AT6" s="50">
        <v>210</v>
      </c>
      <c r="AU6" s="50">
        <v>216</v>
      </c>
      <c r="AV6" s="50">
        <v>215</v>
      </c>
      <c r="AW6" s="50">
        <v>969</v>
      </c>
      <c r="AX6" s="50">
        <v>150</v>
      </c>
      <c r="AY6" s="203">
        <v>120</v>
      </c>
      <c r="AZ6" s="199">
        <v>126</v>
      </c>
      <c r="BA6" s="69">
        <v>138</v>
      </c>
      <c r="BB6" s="51">
        <v>138</v>
      </c>
      <c r="BC6" s="51">
        <v>221</v>
      </c>
      <c r="BD6" s="51">
        <v>148</v>
      </c>
      <c r="BE6" s="51">
        <v>395</v>
      </c>
      <c r="BF6" s="51">
        <v>240</v>
      </c>
      <c r="BG6" s="51">
        <v>1438</v>
      </c>
      <c r="BH6" s="51">
        <v>300</v>
      </c>
      <c r="BI6" s="207">
        <v>117</v>
      </c>
      <c r="BJ6" s="264">
        <v>164</v>
      </c>
      <c r="BK6" s="214">
        <v>2537</v>
      </c>
      <c r="BL6" s="56">
        <v>2025</v>
      </c>
      <c r="BM6" s="56">
        <v>2177</v>
      </c>
      <c r="BN6" s="56">
        <v>1843</v>
      </c>
      <c r="BO6" s="56">
        <v>1875</v>
      </c>
      <c r="BP6" s="56">
        <v>4137</v>
      </c>
      <c r="BQ6" s="56">
        <v>5000</v>
      </c>
      <c r="BR6" s="214">
        <v>3334</v>
      </c>
      <c r="BS6" s="211">
        <v>4100</v>
      </c>
      <c r="BT6" s="62">
        <v>59687</v>
      </c>
      <c r="BU6" s="47">
        <v>60450</v>
      </c>
      <c r="BV6" s="172"/>
      <c r="BW6" s="66">
        <v>94</v>
      </c>
      <c r="BX6" s="55">
        <v>70</v>
      </c>
      <c r="BY6" s="55">
        <v>58</v>
      </c>
      <c r="BZ6" s="53">
        <v>80</v>
      </c>
      <c r="CA6" s="53">
        <v>135</v>
      </c>
      <c r="CB6" s="53">
        <v>40</v>
      </c>
      <c r="CC6" s="256">
        <v>195</v>
      </c>
      <c r="CD6" s="71">
        <v>100</v>
      </c>
    </row>
    <row r="7" spans="1:82" x14ac:dyDescent="0.2">
      <c r="A7" s="59" t="s">
        <v>4</v>
      </c>
      <c r="B7" s="62">
        <v>50478</v>
      </c>
      <c r="C7" s="47">
        <v>49489</v>
      </c>
      <c r="D7" s="47">
        <v>48895</v>
      </c>
      <c r="E7" s="47">
        <v>49317</v>
      </c>
      <c r="F7" s="172">
        <v>49346</v>
      </c>
      <c r="G7" s="63">
        <v>1033</v>
      </c>
      <c r="H7" s="48">
        <v>868</v>
      </c>
      <c r="I7" s="48">
        <v>950</v>
      </c>
      <c r="J7" s="48">
        <v>1082</v>
      </c>
      <c r="K7" s="48">
        <v>850</v>
      </c>
      <c r="L7" s="48">
        <v>2201</v>
      </c>
      <c r="M7" s="48">
        <v>2850</v>
      </c>
      <c r="N7" s="48">
        <v>1856</v>
      </c>
      <c r="O7" s="176">
        <v>2500</v>
      </c>
      <c r="P7" s="64">
        <v>222</v>
      </c>
      <c r="Q7" s="54">
        <v>181</v>
      </c>
      <c r="R7" s="54">
        <v>180</v>
      </c>
      <c r="S7" s="54">
        <v>140</v>
      </c>
      <c r="T7" s="54">
        <v>170</v>
      </c>
      <c r="U7" s="54">
        <v>355</v>
      </c>
      <c r="V7" s="54">
        <v>340</v>
      </c>
      <c r="W7" s="186">
        <v>555</v>
      </c>
      <c r="X7" s="181">
        <v>400</v>
      </c>
      <c r="Y7" s="66">
        <v>367</v>
      </c>
      <c r="Z7" s="55">
        <v>264</v>
      </c>
      <c r="AA7" s="55">
        <v>300</v>
      </c>
      <c r="AB7" s="55">
        <v>346</v>
      </c>
      <c r="AC7" s="55">
        <v>260</v>
      </c>
      <c r="AD7" s="55">
        <v>596</v>
      </c>
      <c r="AE7" s="55">
        <v>580</v>
      </c>
      <c r="AF7" s="194">
        <v>456</v>
      </c>
      <c r="AG7" s="190">
        <v>600</v>
      </c>
      <c r="AH7" s="64">
        <v>11096</v>
      </c>
      <c r="AI7" s="54">
        <v>7992</v>
      </c>
      <c r="AJ7" s="54">
        <v>3000</v>
      </c>
      <c r="AK7" s="54">
        <v>7820</v>
      </c>
      <c r="AL7" s="54">
        <v>5000</v>
      </c>
      <c r="AM7" s="54">
        <v>3555</v>
      </c>
      <c r="AN7" s="54">
        <v>3500</v>
      </c>
      <c r="AO7" s="186">
        <v>4283</v>
      </c>
      <c r="AP7" s="181">
        <v>3500</v>
      </c>
      <c r="AQ7" s="67">
        <v>130</v>
      </c>
      <c r="AR7" s="50">
        <v>144</v>
      </c>
      <c r="AS7" s="50">
        <v>107</v>
      </c>
      <c r="AT7" s="50">
        <v>130</v>
      </c>
      <c r="AU7" s="50">
        <v>152</v>
      </c>
      <c r="AV7" s="50">
        <v>130</v>
      </c>
      <c r="AW7" s="50">
        <v>456</v>
      </c>
      <c r="AX7" s="50">
        <v>50</v>
      </c>
      <c r="AY7" s="203">
        <v>24</v>
      </c>
      <c r="AZ7" s="199">
        <v>15</v>
      </c>
      <c r="BA7" s="69">
        <v>246</v>
      </c>
      <c r="BB7" s="51">
        <v>243</v>
      </c>
      <c r="BC7" s="51">
        <v>166</v>
      </c>
      <c r="BD7" s="51">
        <v>250</v>
      </c>
      <c r="BE7" s="51">
        <v>206</v>
      </c>
      <c r="BF7" s="51">
        <v>200</v>
      </c>
      <c r="BG7" s="51">
        <v>230</v>
      </c>
      <c r="BH7" s="51">
        <v>30</v>
      </c>
      <c r="BI7" s="207">
        <v>44</v>
      </c>
      <c r="BJ7" s="264">
        <v>10</v>
      </c>
      <c r="BK7" s="214">
        <v>1350</v>
      </c>
      <c r="BL7" s="56">
        <v>1128</v>
      </c>
      <c r="BM7" s="56">
        <v>1200</v>
      </c>
      <c r="BN7" s="56">
        <v>1343</v>
      </c>
      <c r="BO7" s="56">
        <v>1100</v>
      </c>
      <c r="BP7" s="56">
        <v>2380</v>
      </c>
      <c r="BQ7" s="56">
        <v>3200</v>
      </c>
      <c r="BR7" s="214">
        <v>2036</v>
      </c>
      <c r="BS7" s="211">
        <v>3200</v>
      </c>
      <c r="BT7" s="62">
        <v>48876</v>
      </c>
      <c r="BU7" s="47">
        <v>49408</v>
      </c>
      <c r="BV7" s="172"/>
      <c r="BW7" s="66">
        <v>57</v>
      </c>
      <c r="BX7" s="55">
        <v>10</v>
      </c>
      <c r="BY7" s="55">
        <v>24</v>
      </c>
      <c r="BZ7" s="53">
        <v>15</v>
      </c>
      <c r="CA7" s="53">
        <v>81</v>
      </c>
      <c r="CB7" s="53">
        <v>10</v>
      </c>
      <c r="CC7" s="256">
        <v>79</v>
      </c>
      <c r="CD7" s="71">
        <v>10</v>
      </c>
    </row>
    <row r="8" spans="1:82" x14ac:dyDescent="0.2">
      <c r="A8" s="59" t="s">
        <v>5</v>
      </c>
      <c r="B8" s="62">
        <v>56241</v>
      </c>
      <c r="C8" s="47">
        <v>54852</v>
      </c>
      <c r="D8" s="47">
        <v>54154</v>
      </c>
      <c r="E8" s="47">
        <v>54471</v>
      </c>
      <c r="F8" s="172">
        <v>54411</v>
      </c>
      <c r="G8" s="63">
        <v>1237</v>
      </c>
      <c r="H8" s="48">
        <v>972</v>
      </c>
      <c r="I8" s="48">
        <v>1120</v>
      </c>
      <c r="J8" s="48">
        <v>1117</v>
      </c>
      <c r="K8" s="48">
        <v>958</v>
      </c>
      <c r="L8" s="48">
        <v>2250</v>
      </c>
      <c r="M8" s="48">
        <v>2330</v>
      </c>
      <c r="N8" s="48">
        <v>1744</v>
      </c>
      <c r="O8" s="176">
        <v>2248</v>
      </c>
      <c r="P8" s="64">
        <v>309</v>
      </c>
      <c r="Q8" s="54">
        <v>189</v>
      </c>
      <c r="R8" s="54">
        <v>269</v>
      </c>
      <c r="S8" s="54">
        <v>164</v>
      </c>
      <c r="T8" s="54">
        <v>149</v>
      </c>
      <c r="U8" s="54">
        <v>402</v>
      </c>
      <c r="V8" s="54">
        <v>164</v>
      </c>
      <c r="W8" s="186">
        <v>532</v>
      </c>
      <c r="X8" s="181">
        <v>600</v>
      </c>
      <c r="Y8" s="66">
        <v>406</v>
      </c>
      <c r="Z8" s="55">
        <v>305</v>
      </c>
      <c r="AA8" s="55">
        <v>320</v>
      </c>
      <c r="AB8" s="55">
        <v>355</v>
      </c>
      <c r="AC8" s="55">
        <v>250</v>
      </c>
      <c r="AD8" s="55">
        <v>623</v>
      </c>
      <c r="AE8" s="55">
        <v>355</v>
      </c>
      <c r="AF8" s="194">
        <v>411</v>
      </c>
      <c r="AG8" s="190">
        <v>614</v>
      </c>
      <c r="AH8" s="64">
        <v>3658</v>
      </c>
      <c r="AI8" s="54">
        <v>4160</v>
      </c>
      <c r="AJ8" s="54">
        <v>3830</v>
      </c>
      <c r="AK8" s="54">
        <v>5047</v>
      </c>
      <c r="AL8" s="54">
        <v>4300</v>
      </c>
      <c r="AM8" s="54">
        <v>3872</v>
      </c>
      <c r="AN8" s="54">
        <v>2417</v>
      </c>
      <c r="AO8" s="186">
        <v>4147</v>
      </c>
      <c r="AP8" s="181">
        <v>3100</v>
      </c>
      <c r="AQ8" s="67">
        <v>129</v>
      </c>
      <c r="AR8" s="50">
        <v>242</v>
      </c>
      <c r="AS8" s="50">
        <v>311</v>
      </c>
      <c r="AT8" s="50">
        <v>150</v>
      </c>
      <c r="AU8" s="50">
        <v>346</v>
      </c>
      <c r="AV8" s="50">
        <v>315</v>
      </c>
      <c r="AW8" s="50">
        <v>1004</v>
      </c>
      <c r="AX8" s="50">
        <v>115</v>
      </c>
      <c r="AY8" s="203">
        <v>48</v>
      </c>
      <c r="AZ8" s="199">
        <v>50</v>
      </c>
      <c r="BA8" s="69">
        <v>398</v>
      </c>
      <c r="BB8" s="51">
        <v>568</v>
      </c>
      <c r="BC8" s="51">
        <v>1018</v>
      </c>
      <c r="BD8" s="51">
        <v>480</v>
      </c>
      <c r="BE8" s="51">
        <v>893</v>
      </c>
      <c r="BF8" s="51">
        <v>530</v>
      </c>
      <c r="BG8" s="51">
        <v>3837</v>
      </c>
      <c r="BH8" s="51">
        <v>610</v>
      </c>
      <c r="BI8" s="207">
        <v>312</v>
      </c>
      <c r="BJ8" s="264">
        <v>220</v>
      </c>
      <c r="BK8" s="214">
        <v>1683</v>
      </c>
      <c r="BL8" s="56">
        <v>1384</v>
      </c>
      <c r="BM8" s="56">
        <v>1550</v>
      </c>
      <c r="BN8" s="56">
        <v>1479</v>
      </c>
      <c r="BO8" s="56">
        <v>1370</v>
      </c>
      <c r="BP8" s="56">
        <v>2522</v>
      </c>
      <c r="BQ8" s="56">
        <v>2680</v>
      </c>
      <c r="BR8" s="214">
        <v>2005</v>
      </c>
      <c r="BS8" s="211">
        <v>2522</v>
      </c>
      <c r="BT8" s="62">
        <v>54046</v>
      </c>
      <c r="BU8" s="47">
        <v>54599</v>
      </c>
      <c r="BV8" s="172"/>
      <c r="BW8" s="66">
        <v>80</v>
      </c>
      <c r="BX8" s="55">
        <v>7</v>
      </c>
      <c r="BY8" s="55">
        <v>41</v>
      </c>
      <c r="BZ8" s="53">
        <v>5</v>
      </c>
      <c r="CA8" s="53">
        <v>115</v>
      </c>
      <c r="CB8" s="53">
        <v>5</v>
      </c>
      <c r="CC8" s="256">
        <v>132</v>
      </c>
      <c r="CD8" s="71">
        <v>20</v>
      </c>
    </row>
    <row r="9" spans="1:82" x14ac:dyDescent="0.2">
      <c r="A9" s="59" t="s">
        <v>6</v>
      </c>
      <c r="B9" s="62">
        <v>57063</v>
      </c>
      <c r="C9" s="47">
        <v>55293</v>
      </c>
      <c r="D9" s="47">
        <v>54509</v>
      </c>
      <c r="E9" s="47">
        <v>55130</v>
      </c>
      <c r="F9" s="172">
        <v>55093</v>
      </c>
      <c r="G9" s="63">
        <v>2229</v>
      </c>
      <c r="H9" s="48">
        <v>1919</v>
      </c>
      <c r="I9" s="48">
        <v>1800</v>
      </c>
      <c r="J9" s="48">
        <v>2383</v>
      </c>
      <c r="K9" s="48">
        <v>1900</v>
      </c>
      <c r="L9" s="48">
        <v>3411</v>
      </c>
      <c r="M9" s="48">
        <v>3100</v>
      </c>
      <c r="N9" s="48">
        <v>3056</v>
      </c>
      <c r="O9" s="176">
        <v>3200</v>
      </c>
      <c r="P9" s="64">
        <v>750</v>
      </c>
      <c r="Q9" s="54">
        <v>409</v>
      </c>
      <c r="R9" s="54">
        <v>550</v>
      </c>
      <c r="S9" s="54">
        <v>392</v>
      </c>
      <c r="T9" s="54">
        <v>350</v>
      </c>
      <c r="U9" s="54">
        <v>881</v>
      </c>
      <c r="V9" s="54">
        <v>550</v>
      </c>
      <c r="W9" s="186">
        <v>1122</v>
      </c>
      <c r="X9" s="181">
        <v>1000</v>
      </c>
      <c r="Y9" s="66">
        <v>658</v>
      </c>
      <c r="Z9" s="55">
        <v>599</v>
      </c>
      <c r="AA9" s="55">
        <v>300</v>
      </c>
      <c r="AB9" s="55">
        <v>737</v>
      </c>
      <c r="AC9" s="55">
        <v>480</v>
      </c>
      <c r="AD9" s="55">
        <v>989</v>
      </c>
      <c r="AE9" s="55">
        <v>900</v>
      </c>
      <c r="AF9" s="194">
        <v>827</v>
      </c>
      <c r="AG9" s="190">
        <v>900</v>
      </c>
      <c r="AH9" s="64">
        <v>3392</v>
      </c>
      <c r="AI9" s="54">
        <v>3234</v>
      </c>
      <c r="AJ9" s="54">
        <v>3900</v>
      </c>
      <c r="AK9" s="54">
        <v>3469</v>
      </c>
      <c r="AL9" s="54">
        <v>3000</v>
      </c>
      <c r="AM9" s="54">
        <v>3396</v>
      </c>
      <c r="AN9" s="54">
        <v>2000</v>
      </c>
      <c r="AO9" s="186">
        <v>3845</v>
      </c>
      <c r="AP9" s="181">
        <v>3500</v>
      </c>
      <c r="AQ9" s="67">
        <v>66</v>
      </c>
      <c r="AR9" s="50">
        <v>75</v>
      </c>
      <c r="AS9" s="50">
        <v>35</v>
      </c>
      <c r="AT9" s="50">
        <v>80</v>
      </c>
      <c r="AU9" s="50">
        <v>35</v>
      </c>
      <c r="AV9" s="50">
        <v>50</v>
      </c>
      <c r="AW9" s="50">
        <v>110</v>
      </c>
      <c r="AX9" s="50">
        <v>30</v>
      </c>
      <c r="AY9" s="203">
        <v>12</v>
      </c>
      <c r="AZ9" s="199">
        <v>40</v>
      </c>
      <c r="BA9" s="69">
        <v>708</v>
      </c>
      <c r="BB9" s="51">
        <v>810</v>
      </c>
      <c r="BC9" s="51">
        <v>430</v>
      </c>
      <c r="BD9" s="51">
        <v>750</v>
      </c>
      <c r="BE9" s="51">
        <v>534</v>
      </c>
      <c r="BF9" s="51">
        <v>650</v>
      </c>
      <c r="BG9" s="51">
        <v>830</v>
      </c>
      <c r="BH9" s="51">
        <v>600</v>
      </c>
      <c r="BI9" s="207">
        <v>66</v>
      </c>
      <c r="BJ9" s="264">
        <v>500</v>
      </c>
      <c r="BK9" s="214">
        <v>2600</v>
      </c>
      <c r="BL9" s="56">
        <v>2288</v>
      </c>
      <c r="BM9" s="56">
        <v>2100</v>
      </c>
      <c r="BN9" s="56">
        <v>2667</v>
      </c>
      <c r="BO9" s="56">
        <v>2200</v>
      </c>
      <c r="BP9" s="56">
        <v>3674</v>
      </c>
      <c r="BQ9" s="56">
        <v>3600</v>
      </c>
      <c r="BR9" s="214">
        <v>3293</v>
      </c>
      <c r="BS9" s="211">
        <v>3500</v>
      </c>
      <c r="BT9" s="62">
        <v>54437</v>
      </c>
      <c r="BU9" s="47">
        <v>55324</v>
      </c>
      <c r="BV9" s="172"/>
      <c r="BW9" s="66">
        <v>160</v>
      </c>
      <c r="BX9" s="55">
        <v>180</v>
      </c>
      <c r="BY9" s="55">
        <v>97</v>
      </c>
      <c r="BZ9" s="53">
        <v>150</v>
      </c>
      <c r="CA9" s="53">
        <v>198</v>
      </c>
      <c r="CB9" s="53">
        <v>200</v>
      </c>
      <c r="CC9" s="256">
        <v>215</v>
      </c>
      <c r="CD9" s="71">
        <v>230</v>
      </c>
    </row>
    <row r="10" spans="1:82" x14ac:dyDescent="0.2">
      <c r="A10" s="59" t="s">
        <v>7</v>
      </c>
      <c r="B10" s="62">
        <v>68647</v>
      </c>
      <c r="C10" s="47">
        <v>67022</v>
      </c>
      <c r="D10" s="47">
        <v>66391</v>
      </c>
      <c r="E10" s="47">
        <v>66898</v>
      </c>
      <c r="F10" s="172">
        <v>66960</v>
      </c>
      <c r="G10" s="63">
        <v>1362</v>
      </c>
      <c r="H10" s="48">
        <v>1415</v>
      </c>
      <c r="I10" s="48">
        <v>1200</v>
      </c>
      <c r="J10" s="48">
        <v>1594</v>
      </c>
      <c r="K10" s="48">
        <v>1350</v>
      </c>
      <c r="L10" s="48">
        <v>3104</v>
      </c>
      <c r="M10" s="48">
        <v>3950</v>
      </c>
      <c r="N10" s="48">
        <v>2220</v>
      </c>
      <c r="O10" s="176">
        <v>2990</v>
      </c>
      <c r="P10" s="64">
        <v>189</v>
      </c>
      <c r="Q10" s="54">
        <v>164</v>
      </c>
      <c r="R10" s="54">
        <v>150</v>
      </c>
      <c r="S10" s="54">
        <v>156</v>
      </c>
      <c r="T10" s="54">
        <v>150</v>
      </c>
      <c r="U10" s="54">
        <v>463</v>
      </c>
      <c r="V10" s="54">
        <v>250</v>
      </c>
      <c r="W10" s="186">
        <v>625</v>
      </c>
      <c r="X10" s="181">
        <v>750</v>
      </c>
      <c r="Y10" s="66">
        <v>387</v>
      </c>
      <c r="Z10" s="55">
        <v>410</v>
      </c>
      <c r="AA10" s="55">
        <v>300</v>
      </c>
      <c r="AB10" s="55">
        <v>430</v>
      </c>
      <c r="AC10" s="55">
        <v>350</v>
      </c>
      <c r="AD10" s="55">
        <v>757</v>
      </c>
      <c r="AE10" s="55">
        <v>1050</v>
      </c>
      <c r="AF10" s="194">
        <v>524</v>
      </c>
      <c r="AG10" s="190">
        <v>700</v>
      </c>
      <c r="AH10" s="64">
        <v>12779</v>
      </c>
      <c r="AI10" s="54">
        <v>13885</v>
      </c>
      <c r="AJ10" s="54">
        <v>8000</v>
      </c>
      <c r="AK10" s="54">
        <v>9833</v>
      </c>
      <c r="AL10" s="54">
        <v>8000</v>
      </c>
      <c r="AM10" s="54">
        <v>6352</v>
      </c>
      <c r="AN10" s="54">
        <v>4500</v>
      </c>
      <c r="AO10" s="186">
        <v>5746</v>
      </c>
      <c r="AP10" s="181">
        <v>5500</v>
      </c>
      <c r="AQ10" s="67">
        <v>38</v>
      </c>
      <c r="AR10" s="50">
        <v>38</v>
      </c>
      <c r="AS10" s="50">
        <v>12</v>
      </c>
      <c r="AT10" s="50">
        <v>48</v>
      </c>
      <c r="AU10" s="50">
        <v>15</v>
      </c>
      <c r="AV10" s="50">
        <v>18</v>
      </c>
      <c r="AW10" s="50">
        <v>42</v>
      </c>
      <c r="AX10" s="50">
        <v>15</v>
      </c>
      <c r="AY10" s="203">
        <v>18</v>
      </c>
      <c r="AZ10" s="199">
        <v>15</v>
      </c>
      <c r="BA10" s="69">
        <v>270</v>
      </c>
      <c r="BB10" s="51">
        <v>136</v>
      </c>
      <c r="BC10" s="51">
        <v>122</v>
      </c>
      <c r="BD10" s="51">
        <v>300</v>
      </c>
      <c r="BE10" s="51">
        <v>144</v>
      </c>
      <c r="BF10" s="51">
        <v>150</v>
      </c>
      <c r="BG10" s="51">
        <v>434</v>
      </c>
      <c r="BH10" s="51">
        <v>100</v>
      </c>
      <c r="BI10" s="207">
        <v>70</v>
      </c>
      <c r="BJ10" s="264">
        <v>85</v>
      </c>
      <c r="BK10" s="214">
        <v>1654</v>
      </c>
      <c r="BL10" s="56">
        <v>1705</v>
      </c>
      <c r="BM10" s="56">
        <v>1500</v>
      </c>
      <c r="BN10" s="56">
        <v>1886</v>
      </c>
      <c r="BO10" s="56">
        <v>1600</v>
      </c>
      <c r="BP10" s="56">
        <v>3288</v>
      </c>
      <c r="BQ10" s="56">
        <v>4150</v>
      </c>
      <c r="BR10" s="214">
        <v>2393</v>
      </c>
      <c r="BS10" s="211">
        <v>3150</v>
      </c>
      <c r="BT10" s="62">
        <v>66317</v>
      </c>
      <c r="BU10" s="47">
        <v>67110</v>
      </c>
      <c r="BV10" s="172"/>
      <c r="BW10" s="66">
        <v>37</v>
      </c>
      <c r="BX10" s="55">
        <v>20</v>
      </c>
      <c r="BY10" s="55">
        <v>18</v>
      </c>
      <c r="BZ10" s="53">
        <v>5</v>
      </c>
      <c r="CA10" s="53">
        <v>76</v>
      </c>
      <c r="CB10" s="53">
        <v>5</v>
      </c>
      <c r="CC10" s="256">
        <v>71</v>
      </c>
      <c r="CD10" s="71">
        <v>10</v>
      </c>
    </row>
    <row r="11" spans="1:82" x14ac:dyDescent="0.2">
      <c r="A11" s="60" t="s">
        <v>8</v>
      </c>
      <c r="B11" s="62">
        <v>42356</v>
      </c>
      <c r="C11" s="47">
        <v>42144</v>
      </c>
      <c r="D11" s="47">
        <v>41764</v>
      </c>
      <c r="E11" s="47">
        <v>41340</v>
      </c>
      <c r="F11" s="172">
        <v>41021</v>
      </c>
      <c r="G11" s="63">
        <v>1633</v>
      </c>
      <c r="H11" s="48">
        <v>1256</v>
      </c>
      <c r="I11" s="48">
        <v>1300</v>
      </c>
      <c r="J11" s="48">
        <v>1286</v>
      </c>
      <c r="K11" s="48">
        <v>1053</v>
      </c>
      <c r="L11" s="48">
        <v>2267</v>
      </c>
      <c r="M11" s="48">
        <v>3500</v>
      </c>
      <c r="N11" s="48">
        <v>1723</v>
      </c>
      <c r="O11" s="176">
        <v>2060</v>
      </c>
      <c r="P11" s="64">
        <v>653</v>
      </c>
      <c r="Q11" s="54">
        <v>404</v>
      </c>
      <c r="R11" s="54">
        <v>550</v>
      </c>
      <c r="S11" s="54">
        <v>265</v>
      </c>
      <c r="T11" s="54">
        <v>299</v>
      </c>
      <c r="U11" s="54">
        <v>498</v>
      </c>
      <c r="V11" s="54">
        <v>500</v>
      </c>
      <c r="W11" s="186">
        <v>569</v>
      </c>
      <c r="X11" s="181">
        <v>690</v>
      </c>
      <c r="Y11" s="66">
        <v>508</v>
      </c>
      <c r="Z11" s="55">
        <v>437</v>
      </c>
      <c r="AA11" s="55">
        <v>350</v>
      </c>
      <c r="AB11" s="55">
        <v>389</v>
      </c>
      <c r="AC11" s="55">
        <v>340</v>
      </c>
      <c r="AD11" s="55">
        <v>617</v>
      </c>
      <c r="AE11" s="55">
        <v>875</v>
      </c>
      <c r="AF11" s="194">
        <v>432</v>
      </c>
      <c r="AG11" s="190">
        <v>650</v>
      </c>
      <c r="AH11" s="64">
        <v>3486</v>
      </c>
      <c r="AI11" s="54">
        <v>2479</v>
      </c>
      <c r="AJ11" s="54">
        <v>3600</v>
      </c>
      <c r="AK11" s="54">
        <v>3247</v>
      </c>
      <c r="AL11" s="54">
        <v>2500</v>
      </c>
      <c r="AM11" s="54">
        <v>1702</v>
      </c>
      <c r="AN11" s="54">
        <v>2500</v>
      </c>
      <c r="AO11" s="186">
        <v>1921</v>
      </c>
      <c r="AP11" s="181">
        <v>1500</v>
      </c>
      <c r="AQ11" s="67">
        <v>98</v>
      </c>
      <c r="AR11" s="50">
        <v>107</v>
      </c>
      <c r="AS11" s="50">
        <v>79</v>
      </c>
      <c r="AT11" s="50">
        <v>100</v>
      </c>
      <c r="AU11" s="50">
        <v>108</v>
      </c>
      <c r="AV11" s="50">
        <v>85</v>
      </c>
      <c r="AW11" s="50">
        <v>151</v>
      </c>
      <c r="AX11" s="50">
        <v>50</v>
      </c>
      <c r="AY11" s="203">
        <v>39</v>
      </c>
      <c r="AZ11" s="199">
        <v>25</v>
      </c>
      <c r="BA11" s="69">
        <v>484</v>
      </c>
      <c r="BB11" s="51">
        <v>486</v>
      </c>
      <c r="BC11" s="51">
        <v>409</v>
      </c>
      <c r="BD11" s="51">
        <v>500</v>
      </c>
      <c r="BE11" s="51">
        <v>391</v>
      </c>
      <c r="BF11" s="51">
        <v>450</v>
      </c>
      <c r="BG11" s="51">
        <v>1011</v>
      </c>
      <c r="BH11" s="51">
        <v>250</v>
      </c>
      <c r="BI11" s="207">
        <v>29</v>
      </c>
      <c r="BJ11" s="264">
        <v>100</v>
      </c>
      <c r="BK11" s="214">
        <v>2112</v>
      </c>
      <c r="BL11" s="56">
        <v>1654</v>
      </c>
      <c r="BM11" s="56">
        <v>1700</v>
      </c>
      <c r="BN11" s="56">
        <v>1691</v>
      </c>
      <c r="BO11" s="56">
        <v>1500</v>
      </c>
      <c r="BP11" s="56">
        <v>2574</v>
      </c>
      <c r="BQ11" s="56">
        <v>3700</v>
      </c>
      <c r="BR11" s="214">
        <v>1980</v>
      </c>
      <c r="BS11" s="211">
        <v>2350</v>
      </c>
      <c r="BT11" s="62">
        <v>41608</v>
      </c>
      <c r="BU11" s="47">
        <v>41361</v>
      </c>
      <c r="BV11" s="172"/>
      <c r="BW11" s="66">
        <v>111</v>
      </c>
      <c r="BX11" s="55">
        <v>80</v>
      </c>
      <c r="BY11" s="55">
        <v>64</v>
      </c>
      <c r="BZ11" s="53">
        <v>80</v>
      </c>
      <c r="CA11" s="53">
        <v>141</v>
      </c>
      <c r="CB11" s="53">
        <v>30</v>
      </c>
      <c r="CC11" s="256">
        <v>163</v>
      </c>
      <c r="CD11" s="71">
        <v>30</v>
      </c>
    </row>
    <row r="12" spans="1:82" x14ac:dyDescent="0.2">
      <c r="A12" s="59" t="s">
        <v>9</v>
      </c>
      <c r="B12" s="62">
        <v>46630</v>
      </c>
      <c r="C12" s="47">
        <v>46856</v>
      </c>
      <c r="D12" s="47">
        <v>46715</v>
      </c>
      <c r="E12" s="47">
        <v>46241</v>
      </c>
      <c r="F12" s="172">
        <v>45632</v>
      </c>
      <c r="G12" s="63">
        <v>1280</v>
      </c>
      <c r="H12" s="48">
        <v>1139</v>
      </c>
      <c r="I12" s="48">
        <v>930</v>
      </c>
      <c r="J12" s="48">
        <v>1332</v>
      </c>
      <c r="K12" s="48">
        <v>1052</v>
      </c>
      <c r="L12" s="48">
        <v>2124</v>
      </c>
      <c r="M12" s="48">
        <v>2470</v>
      </c>
      <c r="N12" s="48">
        <v>1672</v>
      </c>
      <c r="O12" s="176">
        <v>2116</v>
      </c>
      <c r="P12" s="64">
        <v>386</v>
      </c>
      <c r="Q12" s="54">
        <v>269</v>
      </c>
      <c r="R12" s="54">
        <v>216</v>
      </c>
      <c r="S12" s="54">
        <v>215</v>
      </c>
      <c r="T12" s="54">
        <v>189</v>
      </c>
      <c r="U12" s="54">
        <v>409</v>
      </c>
      <c r="V12" s="54">
        <v>318</v>
      </c>
      <c r="W12" s="186">
        <v>539</v>
      </c>
      <c r="X12" s="181">
        <v>360</v>
      </c>
      <c r="Y12" s="66">
        <v>399</v>
      </c>
      <c r="Z12" s="55">
        <v>341</v>
      </c>
      <c r="AA12" s="55">
        <v>270</v>
      </c>
      <c r="AB12" s="55">
        <v>394</v>
      </c>
      <c r="AC12" s="55">
        <v>276</v>
      </c>
      <c r="AD12" s="55">
        <v>528</v>
      </c>
      <c r="AE12" s="55">
        <v>600</v>
      </c>
      <c r="AF12" s="194">
        <v>425</v>
      </c>
      <c r="AG12" s="190">
        <v>330</v>
      </c>
      <c r="AH12" s="64">
        <v>4580</v>
      </c>
      <c r="AI12" s="54">
        <v>7674</v>
      </c>
      <c r="AJ12" s="54">
        <v>3400</v>
      </c>
      <c r="AK12" s="54">
        <v>5467</v>
      </c>
      <c r="AL12" s="54">
        <v>7700</v>
      </c>
      <c r="AM12" s="54">
        <v>4651</v>
      </c>
      <c r="AN12" s="54">
        <v>2900</v>
      </c>
      <c r="AO12" s="186">
        <v>4945</v>
      </c>
      <c r="AP12" s="181">
        <v>3100</v>
      </c>
      <c r="AQ12" s="67">
        <v>56</v>
      </c>
      <c r="AR12" s="50">
        <v>57</v>
      </c>
      <c r="AS12" s="50">
        <v>51</v>
      </c>
      <c r="AT12" s="50">
        <v>70</v>
      </c>
      <c r="AU12" s="50">
        <v>43</v>
      </c>
      <c r="AV12" s="50">
        <v>53</v>
      </c>
      <c r="AW12" s="50">
        <v>150</v>
      </c>
      <c r="AX12" s="50">
        <v>17</v>
      </c>
      <c r="AY12" s="203">
        <v>31</v>
      </c>
      <c r="AZ12" s="199">
        <v>16</v>
      </c>
      <c r="BA12" s="69">
        <v>327</v>
      </c>
      <c r="BB12" s="51">
        <v>315</v>
      </c>
      <c r="BC12" s="51">
        <v>235</v>
      </c>
      <c r="BD12" s="51">
        <v>340</v>
      </c>
      <c r="BE12" s="51">
        <v>224</v>
      </c>
      <c r="BF12" s="51">
        <v>285</v>
      </c>
      <c r="BG12" s="51">
        <v>1154</v>
      </c>
      <c r="BH12" s="51">
        <v>150</v>
      </c>
      <c r="BI12" s="207">
        <v>173</v>
      </c>
      <c r="BJ12" s="264">
        <v>20</v>
      </c>
      <c r="BK12" s="214">
        <v>1614</v>
      </c>
      <c r="BL12" s="56">
        <v>1454</v>
      </c>
      <c r="BM12" s="56">
        <v>1414</v>
      </c>
      <c r="BN12" s="56">
        <v>1624</v>
      </c>
      <c r="BO12" s="56">
        <v>1354</v>
      </c>
      <c r="BP12" s="56">
        <v>2332</v>
      </c>
      <c r="BQ12" s="56">
        <v>2621</v>
      </c>
      <c r="BR12" s="214">
        <v>1865</v>
      </c>
      <c r="BS12" s="211">
        <v>2278</v>
      </c>
      <c r="BT12" s="62">
        <v>46587</v>
      </c>
      <c r="BU12" s="47">
        <v>46183</v>
      </c>
      <c r="BV12" s="172"/>
      <c r="BW12" s="66">
        <v>124</v>
      </c>
      <c r="BX12" s="55">
        <v>30</v>
      </c>
      <c r="BY12" s="55">
        <v>54</v>
      </c>
      <c r="BZ12" s="53">
        <v>30</v>
      </c>
      <c r="CA12" s="53">
        <v>93</v>
      </c>
      <c r="CB12" s="53">
        <v>25</v>
      </c>
      <c r="CC12" s="256">
        <v>111</v>
      </c>
      <c r="CD12" s="71">
        <v>150</v>
      </c>
    </row>
    <row r="13" spans="1:82" x14ac:dyDescent="0.2">
      <c r="A13" s="59" t="s">
        <v>10</v>
      </c>
      <c r="B13" s="62">
        <v>55320</v>
      </c>
      <c r="C13" s="47">
        <v>55593</v>
      </c>
      <c r="D13" s="47">
        <v>55277</v>
      </c>
      <c r="E13" s="47">
        <v>54812</v>
      </c>
      <c r="F13" s="172">
        <v>54315</v>
      </c>
      <c r="G13" s="63">
        <v>1973</v>
      </c>
      <c r="H13" s="48">
        <v>1622</v>
      </c>
      <c r="I13" s="48">
        <v>1700</v>
      </c>
      <c r="J13" s="48">
        <v>2008</v>
      </c>
      <c r="K13" s="48">
        <v>1878</v>
      </c>
      <c r="L13" s="48">
        <v>3207</v>
      </c>
      <c r="M13" s="48">
        <v>5700</v>
      </c>
      <c r="N13" s="48">
        <v>2630</v>
      </c>
      <c r="O13" s="176">
        <v>3250</v>
      </c>
      <c r="P13" s="64">
        <v>755</v>
      </c>
      <c r="Q13" s="54">
        <v>523</v>
      </c>
      <c r="R13" s="54">
        <v>650</v>
      </c>
      <c r="S13" s="54">
        <v>423</v>
      </c>
      <c r="T13" s="54">
        <v>505</v>
      </c>
      <c r="U13" s="54">
        <v>787</v>
      </c>
      <c r="V13" s="54">
        <v>715</v>
      </c>
      <c r="W13" s="186">
        <v>1088</v>
      </c>
      <c r="X13" s="181">
        <v>1280</v>
      </c>
      <c r="Y13" s="66">
        <v>604</v>
      </c>
      <c r="Z13" s="55">
        <v>444</v>
      </c>
      <c r="AA13" s="55">
        <v>501</v>
      </c>
      <c r="AB13" s="55">
        <v>592</v>
      </c>
      <c r="AC13" s="55">
        <v>491</v>
      </c>
      <c r="AD13" s="55">
        <v>782</v>
      </c>
      <c r="AE13" s="55">
        <v>1185</v>
      </c>
      <c r="AF13" s="194">
        <v>596</v>
      </c>
      <c r="AG13" s="190">
        <v>740</v>
      </c>
      <c r="AH13" s="64">
        <v>4519</v>
      </c>
      <c r="AI13" s="54">
        <v>4928</v>
      </c>
      <c r="AJ13" s="54">
        <v>4570</v>
      </c>
      <c r="AK13" s="54">
        <v>6063</v>
      </c>
      <c r="AL13" s="54">
        <v>4935</v>
      </c>
      <c r="AM13" s="54">
        <v>3491</v>
      </c>
      <c r="AN13" s="54">
        <v>2300</v>
      </c>
      <c r="AO13" s="186">
        <v>4458</v>
      </c>
      <c r="AP13" s="181">
        <v>3450</v>
      </c>
      <c r="AQ13" s="67">
        <v>105</v>
      </c>
      <c r="AR13" s="50">
        <v>105</v>
      </c>
      <c r="AS13" s="50">
        <v>96</v>
      </c>
      <c r="AT13" s="50">
        <v>120</v>
      </c>
      <c r="AU13" s="50">
        <v>53</v>
      </c>
      <c r="AV13" s="50">
        <v>71</v>
      </c>
      <c r="AW13" s="50">
        <v>198</v>
      </c>
      <c r="AX13" s="50">
        <v>21</v>
      </c>
      <c r="AY13" s="203">
        <v>75</v>
      </c>
      <c r="AZ13" s="199">
        <v>50</v>
      </c>
      <c r="BA13" s="69">
        <v>399</v>
      </c>
      <c r="BB13" s="51">
        <v>405</v>
      </c>
      <c r="BC13" s="51">
        <v>249</v>
      </c>
      <c r="BD13" s="51">
        <v>410</v>
      </c>
      <c r="BE13" s="51">
        <v>200</v>
      </c>
      <c r="BF13" s="51">
        <v>235</v>
      </c>
      <c r="BG13" s="51">
        <v>538</v>
      </c>
      <c r="BH13" s="51">
        <v>85</v>
      </c>
      <c r="BI13" s="207">
        <v>44</v>
      </c>
      <c r="BJ13" s="264">
        <v>35</v>
      </c>
      <c r="BK13" s="214">
        <v>2489</v>
      </c>
      <c r="BL13" s="56">
        <v>2066</v>
      </c>
      <c r="BM13" s="56">
        <v>1936</v>
      </c>
      <c r="BN13" s="56">
        <v>2364</v>
      </c>
      <c r="BO13" s="56">
        <v>2280</v>
      </c>
      <c r="BP13" s="56">
        <v>3454</v>
      </c>
      <c r="BQ13" s="56">
        <v>6950</v>
      </c>
      <c r="BR13" s="214">
        <v>2864</v>
      </c>
      <c r="BS13" s="211">
        <v>3400</v>
      </c>
      <c r="BT13" s="62">
        <v>55116</v>
      </c>
      <c r="BU13" s="47">
        <v>54804</v>
      </c>
      <c r="BV13" s="172"/>
      <c r="BW13" s="66">
        <v>198</v>
      </c>
      <c r="BX13" s="55">
        <v>105</v>
      </c>
      <c r="BY13" s="55">
        <v>110</v>
      </c>
      <c r="BZ13" s="53">
        <v>88</v>
      </c>
      <c r="CA13" s="53">
        <v>149</v>
      </c>
      <c r="CB13" s="53">
        <v>83</v>
      </c>
      <c r="CC13" s="256">
        <v>183</v>
      </c>
      <c r="CD13" s="71">
        <v>40</v>
      </c>
    </row>
    <row r="14" spans="1:82" x14ac:dyDescent="0.2">
      <c r="A14" s="59" t="s">
        <v>11</v>
      </c>
      <c r="B14" s="62">
        <v>69780</v>
      </c>
      <c r="C14" s="47">
        <v>69055</v>
      </c>
      <c r="D14" s="47">
        <v>68573</v>
      </c>
      <c r="E14" s="47">
        <v>67836</v>
      </c>
      <c r="F14" s="172">
        <v>67331</v>
      </c>
      <c r="G14" s="63">
        <v>3590</v>
      </c>
      <c r="H14" s="48">
        <v>3080</v>
      </c>
      <c r="I14" s="48">
        <v>3090</v>
      </c>
      <c r="J14" s="48">
        <v>3224</v>
      </c>
      <c r="K14" s="48">
        <v>2850</v>
      </c>
      <c r="L14" s="48">
        <v>4846</v>
      </c>
      <c r="M14" s="48">
        <v>5800</v>
      </c>
      <c r="N14" s="48">
        <v>3880</v>
      </c>
      <c r="O14" s="176">
        <v>4680</v>
      </c>
      <c r="P14" s="64">
        <v>1431</v>
      </c>
      <c r="Q14" s="54">
        <v>1023</v>
      </c>
      <c r="R14" s="54">
        <v>1111</v>
      </c>
      <c r="S14" s="54">
        <v>879</v>
      </c>
      <c r="T14" s="54">
        <v>800</v>
      </c>
      <c r="U14" s="54">
        <v>1516</v>
      </c>
      <c r="V14" s="54">
        <v>1400</v>
      </c>
      <c r="W14" s="186">
        <v>1722</v>
      </c>
      <c r="X14" s="181">
        <v>1900</v>
      </c>
      <c r="Y14" s="66">
        <v>1008</v>
      </c>
      <c r="Z14" s="55">
        <v>839</v>
      </c>
      <c r="AA14" s="55">
        <v>708</v>
      </c>
      <c r="AB14" s="55">
        <v>939</v>
      </c>
      <c r="AC14" s="55">
        <v>700</v>
      </c>
      <c r="AD14" s="55">
        <v>1274</v>
      </c>
      <c r="AE14" s="55">
        <v>1800</v>
      </c>
      <c r="AF14" s="194">
        <v>835</v>
      </c>
      <c r="AG14" s="190">
        <v>1200</v>
      </c>
      <c r="AH14" s="64">
        <v>3679</v>
      </c>
      <c r="AI14" s="54">
        <v>4171</v>
      </c>
      <c r="AJ14" s="54">
        <v>1000</v>
      </c>
      <c r="AK14" s="54">
        <v>5116</v>
      </c>
      <c r="AL14" s="54">
        <v>4500</v>
      </c>
      <c r="AM14" s="54">
        <v>3480</v>
      </c>
      <c r="AN14" s="54">
        <v>1120</v>
      </c>
      <c r="AO14" s="186">
        <v>3386</v>
      </c>
      <c r="AP14" s="181">
        <v>3500</v>
      </c>
      <c r="AQ14" s="67">
        <v>92</v>
      </c>
      <c r="AR14" s="50">
        <v>100</v>
      </c>
      <c r="AS14" s="50">
        <v>85</v>
      </c>
      <c r="AT14" s="50">
        <v>120</v>
      </c>
      <c r="AU14" s="50">
        <v>49</v>
      </c>
      <c r="AV14" s="50">
        <v>100</v>
      </c>
      <c r="AW14" s="50">
        <v>54</v>
      </c>
      <c r="AX14" s="50">
        <v>10</v>
      </c>
      <c r="AY14" s="203">
        <v>6</v>
      </c>
      <c r="AZ14" s="199">
        <v>7</v>
      </c>
      <c r="BA14" s="69">
        <v>966</v>
      </c>
      <c r="BB14" s="51">
        <v>635</v>
      </c>
      <c r="BC14" s="51">
        <v>314</v>
      </c>
      <c r="BD14" s="51">
        <v>600</v>
      </c>
      <c r="BE14" s="51">
        <v>604</v>
      </c>
      <c r="BF14" s="51">
        <v>500</v>
      </c>
      <c r="BG14" s="51">
        <v>1360</v>
      </c>
      <c r="BH14" s="51">
        <v>145</v>
      </c>
      <c r="BI14" s="207">
        <v>14</v>
      </c>
      <c r="BJ14" s="264">
        <v>30</v>
      </c>
      <c r="BK14" s="214">
        <v>4228</v>
      </c>
      <c r="BL14" s="56">
        <v>3709</v>
      </c>
      <c r="BM14" s="56">
        <v>3578</v>
      </c>
      <c r="BN14" s="56">
        <v>3785</v>
      </c>
      <c r="BO14" s="56">
        <v>3450</v>
      </c>
      <c r="BP14" s="56">
        <v>5237</v>
      </c>
      <c r="BQ14" s="56">
        <v>6300</v>
      </c>
      <c r="BR14" s="214">
        <v>4181</v>
      </c>
      <c r="BS14" s="211">
        <v>4995</v>
      </c>
      <c r="BT14" s="62">
        <v>68326</v>
      </c>
      <c r="BU14" s="47">
        <v>67801</v>
      </c>
      <c r="BV14" s="172"/>
      <c r="BW14" s="66">
        <v>138</v>
      </c>
      <c r="BX14" s="55">
        <v>70</v>
      </c>
      <c r="BY14" s="55">
        <v>118</v>
      </c>
      <c r="BZ14" s="53">
        <v>80</v>
      </c>
      <c r="CA14" s="53">
        <v>236</v>
      </c>
      <c r="CB14" s="53">
        <v>40</v>
      </c>
      <c r="CC14" s="256">
        <v>205</v>
      </c>
      <c r="CD14" s="71">
        <v>50</v>
      </c>
    </row>
    <row r="15" spans="1:82" x14ac:dyDescent="0.2">
      <c r="A15" s="59" t="s">
        <v>12</v>
      </c>
      <c r="B15" s="62">
        <v>89502</v>
      </c>
      <c r="C15" s="47">
        <v>89890</v>
      </c>
      <c r="D15" s="47">
        <v>89381</v>
      </c>
      <c r="E15" s="47">
        <v>88344</v>
      </c>
      <c r="F15" s="172">
        <v>87401</v>
      </c>
      <c r="G15" s="63">
        <v>2226</v>
      </c>
      <c r="H15" s="48">
        <v>1795</v>
      </c>
      <c r="I15" s="48">
        <v>1213</v>
      </c>
      <c r="J15" s="48">
        <v>1815</v>
      </c>
      <c r="K15" s="48">
        <v>1100</v>
      </c>
      <c r="L15" s="48">
        <v>3664</v>
      </c>
      <c r="M15" s="48">
        <v>3900</v>
      </c>
      <c r="N15" s="48">
        <v>2749</v>
      </c>
      <c r="O15" s="176">
        <v>3300</v>
      </c>
      <c r="P15" s="64">
        <v>583</v>
      </c>
      <c r="Q15" s="54">
        <v>345</v>
      </c>
      <c r="R15" s="54">
        <v>333</v>
      </c>
      <c r="S15" s="54">
        <v>237</v>
      </c>
      <c r="T15" s="54">
        <v>290</v>
      </c>
      <c r="U15" s="54">
        <v>588</v>
      </c>
      <c r="V15" s="54">
        <v>400</v>
      </c>
      <c r="W15" s="186">
        <v>879</v>
      </c>
      <c r="X15" s="181">
        <v>700</v>
      </c>
      <c r="Y15" s="66">
        <v>701</v>
      </c>
      <c r="Z15" s="55">
        <v>491</v>
      </c>
      <c r="AA15" s="55">
        <v>130</v>
      </c>
      <c r="AB15" s="55">
        <v>519</v>
      </c>
      <c r="AC15" s="55">
        <v>390</v>
      </c>
      <c r="AD15" s="55">
        <v>947</v>
      </c>
      <c r="AE15" s="55">
        <v>1000</v>
      </c>
      <c r="AF15" s="194">
        <v>615</v>
      </c>
      <c r="AG15" s="190">
        <v>1100</v>
      </c>
      <c r="AH15" s="64">
        <v>8758</v>
      </c>
      <c r="AI15" s="54">
        <v>11695</v>
      </c>
      <c r="AJ15" s="54">
        <v>1000</v>
      </c>
      <c r="AK15" s="54">
        <v>8860</v>
      </c>
      <c r="AL15" s="54">
        <v>9000</v>
      </c>
      <c r="AM15" s="54">
        <v>6086</v>
      </c>
      <c r="AN15" s="54">
        <v>6080</v>
      </c>
      <c r="AO15" s="186">
        <v>6869</v>
      </c>
      <c r="AP15" s="181">
        <v>6000</v>
      </c>
      <c r="AQ15" s="67">
        <v>147</v>
      </c>
      <c r="AR15" s="50">
        <v>147</v>
      </c>
      <c r="AS15" s="50">
        <v>126</v>
      </c>
      <c r="AT15" s="50">
        <v>160</v>
      </c>
      <c r="AU15" s="50">
        <v>109</v>
      </c>
      <c r="AV15" s="50">
        <v>130</v>
      </c>
      <c r="AW15" s="50">
        <v>558</v>
      </c>
      <c r="AX15" s="50">
        <v>120</v>
      </c>
      <c r="AY15" s="203">
        <v>72</v>
      </c>
      <c r="AZ15" s="199">
        <v>100</v>
      </c>
      <c r="BA15" s="69">
        <v>364</v>
      </c>
      <c r="BB15" s="51">
        <v>879</v>
      </c>
      <c r="BC15" s="51">
        <v>421</v>
      </c>
      <c r="BD15" s="51">
        <v>300</v>
      </c>
      <c r="BE15" s="51">
        <v>254</v>
      </c>
      <c r="BF15" s="51">
        <v>300</v>
      </c>
      <c r="BG15" s="51">
        <v>375</v>
      </c>
      <c r="BH15" s="51">
        <v>50</v>
      </c>
      <c r="BI15" s="207">
        <v>87</v>
      </c>
      <c r="BJ15" s="264">
        <v>50</v>
      </c>
      <c r="BK15" s="214">
        <v>2756</v>
      </c>
      <c r="BL15" s="56">
        <v>2244</v>
      </c>
      <c r="BM15" s="56">
        <v>1500</v>
      </c>
      <c r="BN15" s="56">
        <v>2268</v>
      </c>
      <c r="BO15" s="56">
        <v>1900</v>
      </c>
      <c r="BP15" s="56">
        <v>4031</v>
      </c>
      <c r="BQ15" s="56">
        <v>4400</v>
      </c>
      <c r="BR15" s="214">
        <v>3119</v>
      </c>
      <c r="BS15" s="211">
        <v>4000</v>
      </c>
      <c r="BT15" s="62">
        <v>89083</v>
      </c>
      <c r="BU15" s="47">
        <v>88232</v>
      </c>
      <c r="BV15" s="172"/>
      <c r="BW15" s="66">
        <v>97</v>
      </c>
      <c r="BX15" s="55">
        <v>48</v>
      </c>
      <c r="BY15" s="55">
        <v>41</v>
      </c>
      <c r="BZ15" s="53">
        <v>30</v>
      </c>
      <c r="CA15" s="53">
        <v>176</v>
      </c>
      <c r="CB15" s="53">
        <v>20</v>
      </c>
      <c r="CC15" s="256">
        <v>175</v>
      </c>
      <c r="CD15" s="71">
        <v>250</v>
      </c>
    </row>
    <row r="16" spans="1:82" x14ac:dyDescent="0.2">
      <c r="A16" s="59" t="s">
        <v>13</v>
      </c>
      <c r="B16" s="62">
        <v>53307</v>
      </c>
      <c r="C16" s="47">
        <v>51802</v>
      </c>
      <c r="D16" s="47">
        <v>51421</v>
      </c>
      <c r="E16" s="47">
        <v>50687</v>
      </c>
      <c r="F16" s="172">
        <v>51331</v>
      </c>
      <c r="G16" s="63">
        <v>2795</v>
      </c>
      <c r="H16" s="48">
        <v>2177</v>
      </c>
      <c r="I16" s="48">
        <v>2595</v>
      </c>
      <c r="J16" s="48">
        <v>2191</v>
      </c>
      <c r="K16" s="48">
        <v>2124</v>
      </c>
      <c r="L16" s="48">
        <v>3703</v>
      </c>
      <c r="M16" s="48">
        <v>4550</v>
      </c>
      <c r="N16" s="48">
        <v>3173</v>
      </c>
      <c r="O16" s="176">
        <v>3671</v>
      </c>
      <c r="P16" s="64">
        <v>1677</v>
      </c>
      <c r="Q16" s="54">
        <v>1236</v>
      </c>
      <c r="R16" s="54">
        <v>1470</v>
      </c>
      <c r="S16" s="54">
        <v>942</v>
      </c>
      <c r="T16" s="54">
        <v>1155</v>
      </c>
      <c r="U16" s="54">
        <v>1281</v>
      </c>
      <c r="V16" s="54">
        <v>1680</v>
      </c>
      <c r="W16" s="186">
        <v>1546</v>
      </c>
      <c r="X16" s="181">
        <v>1650</v>
      </c>
      <c r="Y16" s="66">
        <v>607</v>
      </c>
      <c r="Z16" s="55">
        <v>515</v>
      </c>
      <c r="AA16" s="55">
        <v>470</v>
      </c>
      <c r="AB16" s="55">
        <v>570</v>
      </c>
      <c r="AC16" s="55">
        <v>460</v>
      </c>
      <c r="AD16" s="55">
        <v>862</v>
      </c>
      <c r="AE16" s="55">
        <v>920</v>
      </c>
      <c r="AF16" s="194">
        <v>653</v>
      </c>
      <c r="AG16" s="190">
        <v>840</v>
      </c>
      <c r="AH16" s="64">
        <v>2490</v>
      </c>
      <c r="AI16" s="54">
        <v>2743</v>
      </c>
      <c r="AJ16" s="54">
        <v>1800</v>
      </c>
      <c r="AK16" s="54">
        <v>4439</v>
      </c>
      <c r="AL16" s="54">
        <v>3500</v>
      </c>
      <c r="AM16" s="54">
        <v>2178</v>
      </c>
      <c r="AN16" s="54">
        <v>2500</v>
      </c>
      <c r="AO16" s="186">
        <v>2192</v>
      </c>
      <c r="AP16" s="181">
        <v>2000</v>
      </c>
      <c r="AQ16" s="67">
        <v>84</v>
      </c>
      <c r="AR16" s="50">
        <v>101</v>
      </c>
      <c r="AS16" s="50">
        <v>76</v>
      </c>
      <c r="AT16" s="50">
        <v>75</v>
      </c>
      <c r="AU16" s="50">
        <v>58</v>
      </c>
      <c r="AV16" s="50">
        <v>80</v>
      </c>
      <c r="AW16" s="50">
        <v>123</v>
      </c>
      <c r="AX16" s="50">
        <v>35</v>
      </c>
      <c r="AY16" s="203">
        <v>39</v>
      </c>
      <c r="AZ16" s="199">
        <v>35</v>
      </c>
      <c r="BA16" s="69">
        <v>922</v>
      </c>
      <c r="BB16" s="51">
        <v>925</v>
      </c>
      <c r="BC16" s="51">
        <v>489</v>
      </c>
      <c r="BD16" s="51">
        <v>800</v>
      </c>
      <c r="BE16" s="51">
        <v>328</v>
      </c>
      <c r="BF16" s="51">
        <v>500</v>
      </c>
      <c r="BG16" s="51">
        <v>602</v>
      </c>
      <c r="BH16" s="51">
        <v>280</v>
      </c>
      <c r="BI16" s="207">
        <v>123</v>
      </c>
      <c r="BJ16" s="264">
        <v>80</v>
      </c>
      <c r="BK16" s="214">
        <v>3646</v>
      </c>
      <c r="BL16" s="56">
        <v>3076</v>
      </c>
      <c r="BM16" s="56">
        <v>3400</v>
      </c>
      <c r="BN16" s="56">
        <v>2943</v>
      </c>
      <c r="BO16" s="56">
        <v>3014</v>
      </c>
      <c r="BP16" s="56">
        <v>4214</v>
      </c>
      <c r="BQ16" s="56">
        <v>5100</v>
      </c>
      <c r="BR16" s="214">
        <v>3683</v>
      </c>
      <c r="BS16" s="211">
        <v>4365</v>
      </c>
      <c r="BT16" s="62">
        <v>51346</v>
      </c>
      <c r="BU16" s="47">
        <v>50634</v>
      </c>
      <c r="BV16" s="172"/>
      <c r="BW16" s="66">
        <v>168</v>
      </c>
      <c r="BX16" s="55">
        <v>67</v>
      </c>
      <c r="BY16" s="55">
        <v>134</v>
      </c>
      <c r="BZ16" s="53">
        <v>100</v>
      </c>
      <c r="CA16" s="53">
        <v>234</v>
      </c>
      <c r="CB16" s="53">
        <v>65</v>
      </c>
      <c r="CC16" s="256">
        <v>266</v>
      </c>
      <c r="CD16" s="71">
        <v>55</v>
      </c>
    </row>
    <row r="17" spans="1:82" x14ac:dyDescent="0.2">
      <c r="A17" s="59" t="s">
        <v>14</v>
      </c>
      <c r="B17" s="62">
        <v>55417</v>
      </c>
      <c r="C17" s="47">
        <v>54666</v>
      </c>
      <c r="D17" s="47">
        <v>53978</v>
      </c>
      <c r="E17" s="47">
        <v>52924</v>
      </c>
      <c r="F17" s="172">
        <v>53607</v>
      </c>
      <c r="G17" s="63">
        <v>3017</v>
      </c>
      <c r="H17" s="48">
        <v>2249</v>
      </c>
      <c r="I17" s="48">
        <v>2767</v>
      </c>
      <c r="J17" s="48">
        <v>2061</v>
      </c>
      <c r="K17" s="48">
        <v>1999</v>
      </c>
      <c r="L17" s="48">
        <v>3610</v>
      </c>
      <c r="M17" s="48">
        <v>4000</v>
      </c>
      <c r="N17" s="48">
        <v>3142</v>
      </c>
      <c r="O17" s="176">
        <v>3500</v>
      </c>
      <c r="P17" s="64">
        <v>1730</v>
      </c>
      <c r="Q17" s="54">
        <v>1063</v>
      </c>
      <c r="R17" s="54">
        <v>1530</v>
      </c>
      <c r="S17" s="54">
        <v>698</v>
      </c>
      <c r="T17" s="54">
        <v>813</v>
      </c>
      <c r="U17" s="54">
        <v>1057</v>
      </c>
      <c r="V17" s="54">
        <v>950</v>
      </c>
      <c r="W17" s="186">
        <v>1375</v>
      </c>
      <c r="X17" s="181">
        <v>1500</v>
      </c>
      <c r="Y17" s="66">
        <v>793</v>
      </c>
      <c r="Z17" s="55">
        <v>591</v>
      </c>
      <c r="AA17" s="55">
        <v>643</v>
      </c>
      <c r="AB17" s="55">
        <v>571</v>
      </c>
      <c r="AC17" s="55">
        <v>471</v>
      </c>
      <c r="AD17" s="55">
        <v>902</v>
      </c>
      <c r="AE17" s="55">
        <v>1100</v>
      </c>
      <c r="AF17" s="194">
        <v>706</v>
      </c>
      <c r="AG17" s="190">
        <v>850</v>
      </c>
      <c r="AH17" s="64">
        <v>2877</v>
      </c>
      <c r="AI17" s="54">
        <v>2339</v>
      </c>
      <c r="AJ17" s="54">
        <v>2500</v>
      </c>
      <c r="AK17" s="54">
        <v>3995</v>
      </c>
      <c r="AL17" s="54">
        <v>3000</v>
      </c>
      <c r="AM17" s="54">
        <v>2490</v>
      </c>
      <c r="AN17" s="54">
        <v>3000</v>
      </c>
      <c r="AO17" s="186">
        <v>2351</v>
      </c>
      <c r="AP17" s="181">
        <v>2500</v>
      </c>
      <c r="AQ17" s="67">
        <v>106</v>
      </c>
      <c r="AR17" s="50">
        <v>156</v>
      </c>
      <c r="AS17" s="50">
        <v>46</v>
      </c>
      <c r="AT17" s="50">
        <v>60</v>
      </c>
      <c r="AU17" s="50">
        <v>67</v>
      </c>
      <c r="AV17" s="50">
        <v>50</v>
      </c>
      <c r="AW17" s="50">
        <v>401</v>
      </c>
      <c r="AX17" s="50">
        <v>35</v>
      </c>
      <c r="AY17" s="203">
        <v>16</v>
      </c>
      <c r="AZ17" s="199">
        <v>200</v>
      </c>
      <c r="BA17" s="69">
        <v>488</v>
      </c>
      <c r="BB17" s="51">
        <v>488</v>
      </c>
      <c r="BC17" s="51">
        <v>261</v>
      </c>
      <c r="BD17" s="51">
        <v>500</v>
      </c>
      <c r="BE17" s="51">
        <v>210</v>
      </c>
      <c r="BF17" s="51">
        <v>250</v>
      </c>
      <c r="BG17" s="51">
        <v>758</v>
      </c>
      <c r="BH17" s="51">
        <v>100</v>
      </c>
      <c r="BI17" s="207">
        <v>0</v>
      </c>
      <c r="BJ17" s="264">
        <v>800</v>
      </c>
      <c r="BK17" s="214">
        <v>3798</v>
      </c>
      <c r="BL17" s="56">
        <v>2925</v>
      </c>
      <c r="BM17" s="56">
        <v>3298</v>
      </c>
      <c r="BN17" s="56">
        <v>2543</v>
      </c>
      <c r="BO17" s="56">
        <v>2625</v>
      </c>
      <c r="BP17" s="56">
        <v>3906</v>
      </c>
      <c r="BQ17" s="56">
        <v>4800</v>
      </c>
      <c r="BR17" s="214">
        <v>3454</v>
      </c>
      <c r="BS17" s="211">
        <v>3700</v>
      </c>
      <c r="BT17" s="62">
        <v>53842</v>
      </c>
      <c r="BU17" s="47">
        <v>52797</v>
      </c>
      <c r="BV17" s="172"/>
      <c r="BW17" s="66">
        <v>289</v>
      </c>
      <c r="BX17" s="55">
        <v>100</v>
      </c>
      <c r="BY17" s="55">
        <v>187</v>
      </c>
      <c r="BZ17" s="53">
        <v>200</v>
      </c>
      <c r="CA17" s="53">
        <v>233</v>
      </c>
      <c r="CB17" s="53">
        <v>150</v>
      </c>
      <c r="CC17" s="256">
        <v>283</v>
      </c>
      <c r="CD17" s="71">
        <v>150</v>
      </c>
    </row>
    <row r="18" spans="1:82" x14ac:dyDescent="0.2">
      <c r="A18" s="61" t="s">
        <v>15</v>
      </c>
      <c r="B18" s="62">
        <v>103313</v>
      </c>
      <c r="C18" s="47">
        <v>103650</v>
      </c>
      <c r="D18" s="47">
        <v>103187</v>
      </c>
      <c r="E18" s="47">
        <v>101546</v>
      </c>
      <c r="F18" s="172">
        <v>102267</v>
      </c>
      <c r="G18" s="63">
        <v>3202</v>
      </c>
      <c r="H18" s="48">
        <v>2580</v>
      </c>
      <c r="I18" s="48">
        <v>2100</v>
      </c>
      <c r="J18" s="48">
        <v>2235</v>
      </c>
      <c r="K18" s="48">
        <v>2330</v>
      </c>
      <c r="L18" s="48">
        <v>4223</v>
      </c>
      <c r="M18" s="48">
        <v>5500</v>
      </c>
      <c r="N18" s="48">
        <v>3376</v>
      </c>
      <c r="O18" s="176">
        <v>4200</v>
      </c>
      <c r="P18" s="64">
        <v>1027</v>
      </c>
      <c r="Q18" s="54">
        <v>674</v>
      </c>
      <c r="R18" s="54">
        <v>550</v>
      </c>
      <c r="S18" s="54">
        <v>515</v>
      </c>
      <c r="T18" s="54">
        <v>660</v>
      </c>
      <c r="U18" s="54">
        <v>800</v>
      </c>
      <c r="V18" s="54">
        <v>650</v>
      </c>
      <c r="W18" s="186">
        <v>1002</v>
      </c>
      <c r="X18" s="181">
        <v>700</v>
      </c>
      <c r="Y18" s="66">
        <v>909</v>
      </c>
      <c r="Z18" s="55">
        <v>662</v>
      </c>
      <c r="AA18" s="55">
        <v>650</v>
      </c>
      <c r="AB18" s="55">
        <v>668</v>
      </c>
      <c r="AC18" s="55">
        <v>600</v>
      </c>
      <c r="AD18" s="55">
        <v>1086</v>
      </c>
      <c r="AE18" s="55">
        <v>650</v>
      </c>
      <c r="AF18" s="194">
        <v>781</v>
      </c>
      <c r="AG18" s="190">
        <v>800</v>
      </c>
      <c r="AH18" s="64">
        <v>18720</v>
      </c>
      <c r="AI18" s="54">
        <v>13171</v>
      </c>
      <c r="AJ18" s="54">
        <v>4000</v>
      </c>
      <c r="AK18" s="54">
        <v>18962</v>
      </c>
      <c r="AL18" s="54">
        <v>3200</v>
      </c>
      <c r="AM18" s="54">
        <v>13478</v>
      </c>
      <c r="AN18" s="54">
        <v>2250</v>
      </c>
      <c r="AO18" s="186">
        <v>13729</v>
      </c>
      <c r="AP18" s="181">
        <v>5500</v>
      </c>
      <c r="AQ18" s="67">
        <v>173</v>
      </c>
      <c r="AR18" s="50">
        <v>170</v>
      </c>
      <c r="AS18" s="50">
        <v>207</v>
      </c>
      <c r="AT18" s="50">
        <v>250</v>
      </c>
      <c r="AU18" s="50">
        <v>229</v>
      </c>
      <c r="AV18" s="50">
        <v>250</v>
      </c>
      <c r="AW18" s="50">
        <v>1268</v>
      </c>
      <c r="AX18" s="50">
        <v>150</v>
      </c>
      <c r="AY18" s="203">
        <v>162</v>
      </c>
      <c r="AZ18" s="199">
        <v>120</v>
      </c>
      <c r="BA18" s="69">
        <v>898</v>
      </c>
      <c r="BB18" s="51">
        <v>872</v>
      </c>
      <c r="BC18" s="51">
        <v>542</v>
      </c>
      <c r="BD18" s="51">
        <v>900</v>
      </c>
      <c r="BE18" s="51">
        <v>625</v>
      </c>
      <c r="BF18" s="51">
        <v>600</v>
      </c>
      <c r="BG18" s="51">
        <v>2418</v>
      </c>
      <c r="BH18" s="51">
        <v>250</v>
      </c>
      <c r="BI18" s="207">
        <v>392</v>
      </c>
      <c r="BJ18" s="264">
        <v>400</v>
      </c>
      <c r="BK18" s="214">
        <v>4084</v>
      </c>
      <c r="BL18" s="56">
        <v>3347</v>
      </c>
      <c r="BM18" s="56">
        <v>2900</v>
      </c>
      <c r="BN18" s="56">
        <v>3024</v>
      </c>
      <c r="BO18" s="56">
        <v>3100</v>
      </c>
      <c r="BP18" s="56">
        <v>4768</v>
      </c>
      <c r="BQ18" s="56">
        <v>5550</v>
      </c>
      <c r="BR18" s="214">
        <v>3902</v>
      </c>
      <c r="BS18" s="211">
        <v>4600</v>
      </c>
      <c r="BT18" s="62">
        <v>103092</v>
      </c>
      <c r="BU18" s="47">
        <v>101350</v>
      </c>
      <c r="BV18" s="172"/>
      <c r="BW18" s="66">
        <v>167</v>
      </c>
      <c r="BX18" s="55">
        <v>100</v>
      </c>
      <c r="BY18" s="55">
        <v>117</v>
      </c>
      <c r="BZ18" s="53">
        <v>90</v>
      </c>
      <c r="CA18" s="53">
        <v>235</v>
      </c>
      <c r="CB18" s="53">
        <v>100</v>
      </c>
      <c r="CC18" s="256">
        <v>231</v>
      </c>
      <c r="CD18" s="71">
        <v>154</v>
      </c>
    </row>
    <row r="19" spans="1:82" x14ac:dyDescent="0.2">
      <c r="A19" s="60" t="s">
        <v>16</v>
      </c>
      <c r="B19" s="62">
        <v>98143</v>
      </c>
      <c r="C19" s="47">
        <v>96862</v>
      </c>
      <c r="D19" s="47">
        <v>96367</v>
      </c>
      <c r="E19" s="47">
        <v>95195</v>
      </c>
      <c r="F19" s="172">
        <v>96161</v>
      </c>
      <c r="G19" s="63">
        <v>3534</v>
      </c>
      <c r="H19" s="48">
        <v>2564</v>
      </c>
      <c r="I19" s="48">
        <v>3006</v>
      </c>
      <c r="J19" s="48">
        <v>2468</v>
      </c>
      <c r="K19" s="48">
        <v>2255</v>
      </c>
      <c r="L19" s="48">
        <v>5050</v>
      </c>
      <c r="M19" s="48">
        <v>6850</v>
      </c>
      <c r="N19" s="48">
        <v>4966</v>
      </c>
      <c r="O19" s="176">
        <v>6100</v>
      </c>
      <c r="P19" s="64">
        <v>1258</v>
      </c>
      <c r="Q19" s="54">
        <v>778</v>
      </c>
      <c r="R19" s="54">
        <v>950</v>
      </c>
      <c r="S19" s="54">
        <v>566</v>
      </c>
      <c r="T19" s="54">
        <v>688</v>
      </c>
      <c r="U19" s="54">
        <v>1186</v>
      </c>
      <c r="V19" s="54">
        <v>1500</v>
      </c>
      <c r="W19" s="186">
        <v>1824</v>
      </c>
      <c r="X19" s="181">
        <v>2100</v>
      </c>
      <c r="Y19" s="66">
        <v>866</v>
      </c>
      <c r="Z19" s="55">
        <v>744</v>
      </c>
      <c r="AA19" s="55">
        <v>650</v>
      </c>
      <c r="AB19" s="55">
        <v>725</v>
      </c>
      <c r="AC19" s="55">
        <v>604</v>
      </c>
      <c r="AD19" s="55">
        <v>1256</v>
      </c>
      <c r="AE19" s="55">
        <v>1600</v>
      </c>
      <c r="AF19" s="194">
        <v>1085</v>
      </c>
      <c r="AG19" s="190">
        <v>1450</v>
      </c>
      <c r="AH19" s="64">
        <v>6030</v>
      </c>
      <c r="AI19" s="54">
        <v>5279</v>
      </c>
      <c r="AJ19" s="54">
        <v>6500</v>
      </c>
      <c r="AK19" s="54">
        <v>6741</v>
      </c>
      <c r="AL19" s="54">
        <v>5820</v>
      </c>
      <c r="AM19" s="54">
        <v>4573</v>
      </c>
      <c r="AN19" s="54">
        <v>3700</v>
      </c>
      <c r="AO19" s="186">
        <v>4618</v>
      </c>
      <c r="AP19" s="181">
        <v>4600</v>
      </c>
      <c r="AQ19" s="67" t="s">
        <v>91</v>
      </c>
      <c r="AR19" s="50">
        <v>404</v>
      </c>
      <c r="AS19" s="50">
        <v>254</v>
      </c>
      <c r="AT19" s="50" t="s">
        <v>91</v>
      </c>
      <c r="AU19" s="50">
        <v>218</v>
      </c>
      <c r="AV19" s="50">
        <v>185</v>
      </c>
      <c r="AW19" s="50">
        <v>1089</v>
      </c>
      <c r="AX19" s="50">
        <v>60</v>
      </c>
      <c r="AY19" s="203">
        <v>102</v>
      </c>
      <c r="AZ19" s="199">
        <v>50</v>
      </c>
      <c r="BA19" s="69" t="s">
        <v>91</v>
      </c>
      <c r="BB19" s="51">
        <v>926</v>
      </c>
      <c r="BC19" s="51">
        <v>506</v>
      </c>
      <c r="BD19" s="51" t="s">
        <v>91</v>
      </c>
      <c r="BE19" s="51">
        <v>776</v>
      </c>
      <c r="BF19" s="51">
        <v>540</v>
      </c>
      <c r="BG19" s="51">
        <v>3148</v>
      </c>
      <c r="BH19" s="51">
        <v>500</v>
      </c>
      <c r="BI19" s="207">
        <v>52</v>
      </c>
      <c r="BJ19" s="264">
        <v>200</v>
      </c>
      <c r="BK19" s="214">
        <v>4486</v>
      </c>
      <c r="BL19" s="56">
        <v>3686</v>
      </c>
      <c r="BM19" s="56">
        <v>3958</v>
      </c>
      <c r="BN19" s="56">
        <v>3474</v>
      </c>
      <c r="BO19" s="56">
        <v>3480</v>
      </c>
      <c r="BP19" s="56">
        <v>5735</v>
      </c>
      <c r="BQ19" s="56">
        <v>7600</v>
      </c>
      <c r="BR19" s="214">
        <v>5473</v>
      </c>
      <c r="BS19" s="211">
        <v>6900</v>
      </c>
      <c r="BT19" s="62">
        <v>96298</v>
      </c>
      <c r="BU19" s="47">
        <v>95076</v>
      </c>
      <c r="BV19" s="172"/>
      <c r="BW19" s="66">
        <v>163</v>
      </c>
      <c r="BX19" s="55">
        <v>230</v>
      </c>
      <c r="BY19" s="55">
        <v>111</v>
      </c>
      <c r="BZ19" s="53">
        <v>720</v>
      </c>
      <c r="CA19" s="53">
        <v>335</v>
      </c>
      <c r="CB19" s="53">
        <v>100</v>
      </c>
      <c r="CC19" s="256">
        <v>305</v>
      </c>
      <c r="CD19" s="71">
        <v>120</v>
      </c>
    </row>
    <row r="20" spans="1:82" x14ac:dyDescent="0.2">
      <c r="A20" s="59" t="s">
        <v>17</v>
      </c>
      <c r="B20" s="62">
        <v>37840</v>
      </c>
      <c r="C20" s="47">
        <v>37530</v>
      </c>
      <c r="D20" s="47">
        <v>37357</v>
      </c>
      <c r="E20" s="47">
        <v>36828</v>
      </c>
      <c r="F20" s="172">
        <v>37133</v>
      </c>
      <c r="G20" s="63">
        <v>1545</v>
      </c>
      <c r="H20" s="48">
        <v>1185</v>
      </c>
      <c r="I20" s="48">
        <v>1180</v>
      </c>
      <c r="J20" s="48">
        <v>1085</v>
      </c>
      <c r="K20" s="48">
        <v>970</v>
      </c>
      <c r="L20" s="48">
        <v>1966</v>
      </c>
      <c r="M20" s="48">
        <v>2600</v>
      </c>
      <c r="N20" s="48">
        <v>1678</v>
      </c>
      <c r="O20" s="176">
        <v>1925</v>
      </c>
      <c r="P20" s="64">
        <v>614</v>
      </c>
      <c r="Q20" s="54">
        <v>378</v>
      </c>
      <c r="R20" s="54">
        <v>470</v>
      </c>
      <c r="S20" s="54">
        <v>312</v>
      </c>
      <c r="T20" s="54">
        <v>300</v>
      </c>
      <c r="U20" s="54">
        <v>498</v>
      </c>
      <c r="V20" s="54">
        <v>650</v>
      </c>
      <c r="W20" s="186">
        <v>669</v>
      </c>
      <c r="X20" s="181">
        <v>550</v>
      </c>
      <c r="Y20" s="66">
        <v>490</v>
      </c>
      <c r="Z20" s="55">
        <v>375</v>
      </c>
      <c r="AA20" s="55">
        <v>380</v>
      </c>
      <c r="AB20" s="55">
        <v>328</v>
      </c>
      <c r="AC20" s="55">
        <v>290</v>
      </c>
      <c r="AD20" s="55">
        <v>488</v>
      </c>
      <c r="AE20" s="55">
        <v>550</v>
      </c>
      <c r="AF20" s="194">
        <v>401</v>
      </c>
      <c r="AG20" s="190">
        <v>480</v>
      </c>
      <c r="AH20" s="64">
        <v>1985</v>
      </c>
      <c r="AI20" s="54">
        <v>1926</v>
      </c>
      <c r="AJ20" s="54">
        <v>1000</v>
      </c>
      <c r="AK20" s="54">
        <v>2504</v>
      </c>
      <c r="AL20" s="54">
        <v>2500</v>
      </c>
      <c r="AM20" s="54">
        <v>2131</v>
      </c>
      <c r="AN20" s="54">
        <v>1700</v>
      </c>
      <c r="AO20" s="186">
        <v>2936</v>
      </c>
      <c r="AP20" s="181">
        <v>3000</v>
      </c>
      <c r="AQ20" s="67">
        <v>175</v>
      </c>
      <c r="AR20" s="50">
        <v>175</v>
      </c>
      <c r="AS20" s="50">
        <v>119</v>
      </c>
      <c r="AT20" s="50">
        <v>180</v>
      </c>
      <c r="AU20" s="50">
        <v>104</v>
      </c>
      <c r="AV20" s="50">
        <v>120</v>
      </c>
      <c r="AW20" s="50">
        <v>322</v>
      </c>
      <c r="AX20" s="50">
        <v>50</v>
      </c>
      <c r="AY20" s="203">
        <v>51</v>
      </c>
      <c r="AZ20" s="199">
        <v>40</v>
      </c>
      <c r="BA20" s="69">
        <v>428</v>
      </c>
      <c r="BB20" s="51">
        <v>460</v>
      </c>
      <c r="BC20" s="51">
        <v>387</v>
      </c>
      <c r="BD20" s="51">
        <v>450</v>
      </c>
      <c r="BE20" s="51">
        <v>455</v>
      </c>
      <c r="BF20" s="51">
        <v>550</v>
      </c>
      <c r="BG20" s="51">
        <v>825</v>
      </c>
      <c r="BH20" s="51">
        <v>400</v>
      </c>
      <c r="BI20" s="207">
        <v>0</v>
      </c>
      <c r="BJ20" s="264">
        <v>100</v>
      </c>
      <c r="BK20" s="214">
        <v>1935</v>
      </c>
      <c r="BL20" s="56">
        <v>1550</v>
      </c>
      <c r="BM20" s="56">
        <v>1565</v>
      </c>
      <c r="BN20" s="56">
        <v>1509</v>
      </c>
      <c r="BO20" s="56">
        <v>1310</v>
      </c>
      <c r="BP20" s="56">
        <v>2230</v>
      </c>
      <c r="BQ20" s="56">
        <v>3050</v>
      </c>
      <c r="BR20" s="214">
        <v>1924</v>
      </c>
      <c r="BS20" s="211">
        <v>2160</v>
      </c>
      <c r="BT20" s="62">
        <v>37337</v>
      </c>
      <c r="BU20" s="47">
        <v>36754</v>
      </c>
      <c r="BV20" s="172"/>
      <c r="BW20" s="66">
        <v>143</v>
      </c>
      <c r="BX20" s="55">
        <v>70</v>
      </c>
      <c r="BY20" s="55">
        <v>67</v>
      </c>
      <c r="BZ20" s="53">
        <v>90</v>
      </c>
      <c r="CA20" s="53">
        <v>101</v>
      </c>
      <c r="CB20" s="53">
        <v>60</v>
      </c>
      <c r="CC20" s="256">
        <v>107</v>
      </c>
      <c r="CD20" s="71">
        <v>45</v>
      </c>
    </row>
    <row r="21" spans="1:82" x14ac:dyDescent="0.2">
      <c r="A21" s="59" t="s">
        <v>18</v>
      </c>
      <c r="B21" s="62">
        <v>45649</v>
      </c>
      <c r="C21" s="47">
        <v>45069</v>
      </c>
      <c r="D21" s="47">
        <v>45676</v>
      </c>
      <c r="E21" s="47">
        <v>45529</v>
      </c>
      <c r="F21" s="172">
        <v>45551</v>
      </c>
      <c r="G21" s="63">
        <v>2226</v>
      </c>
      <c r="H21" s="48">
        <v>1963</v>
      </c>
      <c r="I21" s="48">
        <v>2000</v>
      </c>
      <c r="J21" s="48">
        <v>1826</v>
      </c>
      <c r="K21" s="48">
        <v>1750</v>
      </c>
      <c r="L21" s="48">
        <v>3165</v>
      </c>
      <c r="M21" s="48">
        <v>3200</v>
      </c>
      <c r="N21" s="48">
        <v>2546</v>
      </c>
      <c r="O21" s="176">
        <v>3200</v>
      </c>
      <c r="P21" s="64">
        <v>999</v>
      </c>
      <c r="Q21" s="54">
        <v>749</v>
      </c>
      <c r="R21" s="54">
        <v>699</v>
      </c>
      <c r="S21" s="54">
        <v>615</v>
      </c>
      <c r="T21" s="54">
        <v>650</v>
      </c>
      <c r="U21" s="54">
        <v>1009</v>
      </c>
      <c r="V21" s="54">
        <v>715</v>
      </c>
      <c r="W21" s="186">
        <v>1202</v>
      </c>
      <c r="X21" s="181">
        <v>1300</v>
      </c>
      <c r="Y21" s="66">
        <v>779</v>
      </c>
      <c r="Z21" s="55">
        <v>582</v>
      </c>
      <c r="AA21" s="55">
        <v>649</v>
      </c>
      <c r="AB21" s="55">
        <v>593</v>
      </c>
      <c r="AC21" s="55">
        <v>490</v>
      </c>
      <c r="AD21" s="55">
        <v>869</v>
      </c>
      <c r="AE21" s="55">
        <v>800</v>
      </c>
      <c r="AF21" s="194">
        <v>690</v>
      </c>
      <c r="AG21" s="190">
        <v>860</v>
      </c>
      <c r="AH21" s="64">
        <v>1613</v>
      </c>
      <c r="AI21" s="54">
        <v>1961</v>
      </c>
      <c r="AJ21" s="54">
        <v>1600</v>
      </c>
      <c r="AK21" s="54">
        <v>3277</v>
      </c>
      <c r="AL21" s="54">
        <v>2000</v>
      </c>
      <c r="AM21" s="54">
        <v>1830</v>
      </c>
      <c r="AN21" s="54">
        <v>1800</v>
      </c>
      <c r="AO21" s="186">
        <v>1777</v>
      </c>
      <c r="AP21" s="181">
        <v>1500</v>
      </c>
      <c r="AQ21" s="67">
        <v>51</v>
      </c>
      <c r="AR21" s="50">
        <v>51</v>
      </c>
      <c r="AS21" s="50">
        <v>84</v>
      </c>
      <c r="AT21" s="50">
        <v>55</v>
      </c>
      <c r="AU21" s="50">
        <v>80</v>
      </c>
      <c r="AV21" s="50">
        <v>100</v>
      </c>
      <c r="AW21" s="50">
        <v>145</v>
      </c>
      <c r="AX21" s="50">
        <v>20</v>
      </c>
      <c r="AY21" s="203">
        <v>20</v>
      </c>
      <c r="AZ21" s="199">
        <v>12</v>
      </c>
      <c r="BA21" s="69">
        <v>292</v>
      </c>
      <c r="BB21" s="51">
        <v>282</v>
      </c>
      <c r="BC21" s="51">
        <v>306</v>
      </c>
      <c r="BD21" s="51" t="s">
        <v>91</v>
      </c>
      <c r="BE21" s="51">
        <v>418</v>
      </c>
      <c r="BF21" s="51">
        <v>350</v>
      </c>
      <c r="BG21" s="51">
        <v>952</v>
      </c>
      <c r="BH21" s="51">
        <v>200</v>
      </c>
      <c r="BI21" s="207">
        <v>44</v>
      </c>
      <c r="BJ21" s="264">
        <v>50</v>
      </c>
      <c r="BK21" s="214">
        <v>2841</v>
      </c>
      <c r="BL21" s="56">
        <v>2486</v>
      </c>
      <c r="BM21" s="56">
        <v>2450</v>
      </c>
      <c r="BN21" s="56">
        <v>2365</v>
      </c>
      <c r="BO21" s="56">
        <v>2250</v>
      </c>
      <c r="BP21" s="56">
        <v>3513</v>
      </c>
      <c r="BQ21" s="56">
        <v>3700</v>
      </c>
      <c r="BR21" s="214">
        <v>2912</v>
      </c>
      <c r="BS21" s="211">
        <v>3500</v>
      </c>
      <c r="BT21" s="62">
        <v>45792</v>
      </c>
      <c r="BU21" s="47">
        <v>45615</v>
      </c>
      <c r="BV21" s="172"/>
      <c r="BW21" s="66">
        <v>156</v>
      </c>
      <c r="BX21" s="55">
        <v>50</v>
      </c>
      <c r="BY21" s="55">
        <v>106</v>
      </c>
      <c r="BZ21" s="53">
        <v>70</v>
      </c>
      <c r="CA21" s="53">
        <v>116</v>
      </c>
      <c r="CB21" s="53">
        <v>80</v>
      </c>
      <c r="CC21" s="256">
        <v>162</v>
      </c>
      <c r="CD21" s="71">
        <v>100</v>
      </c>
    </row>
    <row r="22" spans="1:82" x14ac:dyDescent="0.2">
      <c r="A22" s="59" t="s">
        <v>19</v>
      </c>
      <c r="B22" s="62">
        <v>19831</v>
      </c>
      <c r="C22" s="47">
        <v>19518</v>
      </c>
      <c r="D22" s="47">
        <v>19815</v>
      </c>
      <c r="E22" s="47">
        <v>19758</v>
      </c>
      <c r="F22" s="172">
        <v>19772</v>
      </c>
      <c r="G22" s="63">
        <v>1087</v>
      </c>
      <c r="H22" s="48">
        <v>886</v>
      </c>
      <c r="I22" s="48">
        <v>940</v>
      </c>
      <c r="J22" s="48">
        <v>926</v>
      </c>
      <c r="K22" s="48">
        <v>825</v>
      </c>
      <c r="L22" s="48">
        <v>1551</v>
      </c>
      <c r="M22" s="48">
        <v>1700</v>
      </c>
      <c r="N22" s="48">
        <v>1135</v>
      </c>
      <c r="O22" s="176">
        <v>1494</v>
      </c>
      <c r="P22" s="64">
        <v>455</v>
      </c>
      <c r="Q22" s="54">
        <v>309</v>
      </c>
      <c r="R22" s="54">
        <v>405</v>
      </c>
      <c r="S22" s="54">
        <v>250</v>
      </c>
      <c r="T22" s="54">
        <v>280</v>
      </c>
      <c r="U22" s="54">
        <v>436</v>
      </c>
      <c r="V22" s="54">
        <v>350</v>
      </c>
      <c r="W22" s="186">
        <v>522</v>
      </c>
      <c r="X22" s="181">
        <v>500</v>
      </c>
      <c r="Y22" s="66">
        <v>316</v>
      </c>
      <c r="Z22" s="55">
        <v>270</v>
      </c>
      <c r="AA22" s="55">
        <v>276</v>
      </c>
      <c r="AB22" s="55">
        <v>273</v>
      </c>
      <c r="AC22" s="55">
        <v>240</v>
      </c>
      <c r="AD22" s="55">
        <v>422</v>
      </c>
      <c r="AE22" s="55">
        <v>420</v>
      </c>
      <c r="AF22" s="194">
        <v>277</v>
      </c>
      <c r="AG22" s="190">
        <v>400</v>
      </c>
      <c r="AH22" s="64">
        <v>1928</v>
      </c>
      <c r="AI22" s="54">
        <v>1465</v>
      </c>
      <c r="AJ22" s="54">
        <v>2100</v>
      </c>
      <c r="AK22" s="54">
        <v>1942</v>
      </c>
      <c r="AL22" s="54">
        <v>2000</v>
      </c>
      <c r="AM22" s="54">
        <v>1435</v>
      </c>
      <c r="AN22" s="54">
        <v>1000</v>
      </c>
      <c r="AO22" s="186">
        <v>1741</v>
      </c>
      <c r="AP22" s="181">
        <v>1700</v>
      </c>
      <c r="AQ22" s="67">
        <v>71</v>
      </c>
      <c r="AR22" s="50">
        <v>71</v>
      </c>
      <c r="AS22" s="50">
        <v>73</v>
      </c>
      <c r="AT22" s="50">
        <v>80</v>
      </c>
      <c r="AU22" s="50">
        <v>51</v>
      </c>
      <c r="AV22" s="50">
        <v>75</v>
      </c>
      <c r="AW22" s="50">
        <v>114</v>
      </c>
      <c r="AX22" s="50">
        <v>40</v>
      </c>
      <c r="AY22" s="203">
        <v>24</v>
      </c>
      <c r="AZ22" s="199">
        <v>25</v>
      </c>
      <c r="BA22" s="69" t="s">
        <v>91</v>
      </c>
      <c r="BB22" s="51">
        <v>401</v>
      </c>
      <c r="BC22" s="51">
        <v>436</v>
      </c>
      <c r="BD22" s="51">
        <v>380</v>
      </c>
      <c r="BE22" s="51">
        <v>361</v>
      </c>
      <c r="BF22" s="51">
        <v>370</v>
      </c>
      <c r="BG22" s="51">
        <v>1029</v>
      </c>
      <c r="BH22" s="51">
        <v>320</v>
      </c>
      <c r="BI22" s="207">
        <v>127</v>
      </c>
      <c r="BJ22" s="264">
        <v>250</v>
      </c>
      <c r="BK22" s="214">
        <v>1262</v>
      </c>
      <c r="BL22" s="56">
        <v>1071</v>
      </c>
      <c r="BM22" s="56">
        <v>1080</v>
      </c>
      <c r="BN22" s="56">
        <v>1128</v>
      </c>
      <c r="BO22" s="56">
        <v>970</v>
      </c>
      <c r="BP22" s="56">
        <v>1663</v>
      </c>
      <c r="BQ22" s="56">
        <v>1900</v>
      </c>
      <c r="BR22" s="214">
        <v>1257</v>
      </c>
      <c r="BS22" s="211">
        <v>1500</v>
      </c>
      <c r="BT22" s="62">
        <v>19856</v>
      </c>
      <c r="BU22" s="47">
        <v>19819</v>
      </c>
      <c r="BV22" s="172"/>
      <c r="BW22" s="66">
        <v>100</v>
      </c>
      <c r="BX22" s="55">
        <v>60</v>
      </c>
      <c r="BY22" s="55">
        <v>49</v>
      </c>
      <c r="BZ22" s="53">
        <v>48</v>
      </c>
      <c r="CA22" s="53">
        <v>90</v>
      </c>
      <c r="CB22" s="53">
        <v>30</v>
      </c>
      <c r="CC22" s="256">
        <v>92</v>
      </c>
      <c r="CD22" s="71">
        <v>85</v>
      </c>
    </row>
    <row r="23" spans="1:82" x14ac:dyDescent="0.2">
      <c r="A23" s="59" t="s">
        <v>20</v>
      </c>
      <c r="B23" s="62">
        <v>44527</v>
      </c>
      <c r="C23" s="47">
        <v>44476</v>
      </c>
      <c r="D23" s="47">
        <v>45015</v>
      </c>
      <c r="E23" s="47">
        <v>44759</v>
      </c>
      <c r="F23" s="172">
        <v>44951</v>
      </c>
      <c r="G23" s="63">
        <v>2312</v>
      </c>
      <c r="H23" s="48">
        <v>1870</v>
      </c>
      <c r="I23" s="48">
        <v>2050</v>
      </c>
      <c r="J23" s="48">
        <v>1725</v>
      </c>
      <c r="K23" s="48">
        <v>1770</v>
      </c>
      <c r="L23" s="48">
        <v>2930</v>
      </c>
      <c r="M23" s="48">
        <v>4440</v>
      </c>
      <c r="N23" s="48">
        <v>2177</v>
      </c>
      <c r="O23" s="176">
        <v>2615</v>
      </c>
      <c r="P23" s="64">
        <v>784</v>
      </c>
      <c r="Q23" s="54">
        <v>538</v>
      </c>
      <c r="R23" s="54">
        <v>630</v>
      </c>
      <c r="S23" s="54">
        <v>391</v>
      </c>
      <c r="T23" s="54">
        <v>490</v>
      </c>
      <c r="U23" s="54">
        <v>707</v>
      </c>
      <c r="V23" s="54">
        <v>980</v>
      </c>
      <c r="W23" s="186">
        <v>806</v>
      </c>
      <c r="X23" s="181">
        <v>585</v>
      </c>
      <c r="Y23" s="66">
        <v>839</v>
      </c>
      <c r="Z23" s="55">
        <v>674</v>
      </c>
      <c r="AA23" s="55">
        <v>650</v>
      </c>
      <c r="AB23" s="55">
        <v>626</v>
      </c>
      <c r="AC23" s="55">
        <v>600</v>
      </c>
      <c r="AD23" s="55">
        <v>928</v>
      </c>
      <c r="AE23" s="55">
        <v>1060</v>
      </c>
      <c r="AF23" s="194">
        <v>665</v>
      </c>
      <c r="AG23" s="190">
        <v>767</v>
      </c>
      <c r="AH23" s="64">
        <v>1824</v>
      </c>
      <c r="AI23" s="54">
        <v>3026</v>
      </c>
      <c r="AJ23" s="54">
        <v>1950</v>
      </c>
      <c r="AK23" s="54">
        <v>3697</v>
      </c>
      <c r="AL23" s="54">
        <v>5200</v>
      </c>
      <c r="AM23" s="54">
        <v>2677</v>
      </c>
      <c r="AN23" s="54">
        <v>1500</v>
      </c>
      <c r="AO23" s="186">
        <v>3519</v>
      </c>
      <c r="AP23" s="181">
        <v>2200</v>
      </c>
      <c r="AQ23" s="67">
        <v>47</v>
      </c>
      <c r="AR23" s="50">
        <v>47</v>
      </c>
      <c r="AS23" s="50">
        <v>66</v>
      </c>
      <c r="AT23" s="50">
        <v>70</v>
      </c>
      <c r="AU23" s="50">
        <v>54</v>
      </c>
      <c r="AV23" s="50">
        <v>88</v>
      </c>
      <c r="AW23" s="50">
        <v>165</v>
      </c>
      <c r="AX23" s="50">
        <v>25</v>
      </c>
      <c r="AY23" s="203">
        <v>10</v>
      </c>
      <c r="AZ23" s="199">
        <v>20</v>
      </c>
      <c r="BA23" s="69">
        <v>362</v>
      </c>
      <c r="BB23" s="51">
        <v>332</v>
      </c>
      <c r="BC23" s="51">
        <v>220</v>
      </c>
      <c r="BD23" s="51">
        <v>370</v>
      </c>
      <c r="BE23" s="51">
        <v>222</v>
      </c>
      <c r="BF23" s="51">
        <v>200</v>
      </c>
      <c r="BG23" s="51">
        <v>460</v>
      </c>
      <c r="BH23" s="51">
        <v>150</v>
      </c>
      <c r="BI23" s="207">
        <v>0</v>
      </c>
      <c r="BJ23" s="264">
        <v>15</v>
      </c>
      <c r="BK23" s="214">
        <v>2765</v>
      </c>
      <c r="BL23" s="56">
        <v>2227</v>
      </c>
      <c r="BM23" s="56">
        <v>2550</v>
      </c>
      <c r="BN23" s="56">
        <v>2103</v>
      </c>
      <c r="BO23" s="56">
        <v>2050</v>
      </c>
      <c r="BP23" s="56">
        <v>3262</v>
      </c>
      <c r="BQ23" s="56">
        <v>5285</v>
      </c>
      <c r="BR23" s="214">
        <v>2437</v>
      </c>
      <c r="BS23" s="211">
        <v>3242</v>
      </c>
      <c r="BT23" s="62">
        <v>45086</v>
      </c>
      <c r="BU23" s="47">
        <v>44871</v>
      </c>
      <c r="BV23" s="172"/>
      <c r="BW23" s="66">
        <v>134</v>
      </c>
      <c r="BX23" s="55">
        <v>50</v>
      </c>
      <c r="BY23" s="55">
        <v>79</v>
      </c>
      <c r="BZ23" s="53">
        <v>50</v>
      </c>
      <c r="CA23" s="53">
        <v>138</v>
      </c>
      <c r="CB23" s="53">
        <v>45</v>
      </c>
      <c r="CC23" s="256">
        <v>139</v>
      </c>
      <c r="CD23" s="71">
        <v>130</v>
      </c>
    </row>
    <row r="24" spans="1:82" x14ac:dyDescent="0.2">
      <c r="A24" s="59" t="s">
        <v>21</v>
      </c>
      <c r="B24" s="62">
        <v>36958</v>
      </c>
      <c r="C24" s="47">
        <v>36604</v>
      </c>
      <c r="D24" s="47">
        <v>37076</v>
      </c>
      <c r="E24" s="47">
        <v>36746</v>
      </c>
      <c r="F24" s="172">
        <v>36590</v>
      </c>
      <c r="G24" s="63">
        <v>2217</v>
      </c>
      <c r="H24" s="48">
        <v>1927</v>
      </c>
      <c r="I24" s="48">
        <v>1517</v>
      </c>
      <c r="J24" s="48">
        <v>1670</v>
      </c>
      <c r="K24" s="48">
        <v>1755</v>
      </c>
      <c r="L24" s="48">
        <v>2625</v>
      </c>
      <c r="M24" s="48">
        <v>1825</v>
      </c>
      <c r="N24" s="48">
        <v>2243</v>
      </c>
      <c r="O24" s="176">
        <v>2550</v>
      </c>
      <c r="P24" s="64">
        <v>1021</v>
      </c>
      <c r="Q24" s="54">
        <v>786</v>
      </c>
      <c r="R24" s="54">
        <v>641</v>
      </c>
      <c r="S24" s="54">
        <v>577</v>
      </c>
      <c r="T24" s="54">
        <v>776</v>
      </c>
      <c r="U24" s="54">
        <v>777</v>
      </c>
      <c r="V24" s="54">
        <v>563</v>
      </c>
      <c r="W24" s="186">
        <v>958</v>
      </c>
      <c r="X24" s="181">
        <v>750</v>
      </c>
      <c r="Y24" s="66">
        <v>663</v>
      </c>
      <c r="Z24" s="55">
        <v>550</v>
      </c>
      <c r="AA24" s="55">
        <v>363</v>
      </c>
      <c r="AB24" s="55">
        <v>509</v>
      </c>
      <c r="AC24" s="55">
        <v>550</v>
      </c>
      <c r="AD24" s="55">
        <v>733</v>
      </c>
      <c r="AE24" s="55">
        <v>509</v>
      </c>
      <c r="AF24" s="194">
        <v>534</v>
      </c>
      <c r="AG24" s="190">
        <v>690</v>
      </c>
      <c r="AH24" s="64">
        <v>2177</v>
      </c>
      <c r="AI24" s="54">
        <v>2416</v>
      </c>
      <c r="AJ24" s="54">
        <v>2300</v>
      </c>
      <c r="AK24" s="54">
        <v>3633</v>
      </c>
      <c r="AL24" s="54">
        <v>650</v>
      </c>
      <c r="AM24" s="54">
        <v>2132</v>
      </c>
      <c r="AN24" s="54">
        <v>450</v>
      </c>
      <c r="AO24" s="186">
        <v>2187</v>
      </c>
      <c r="AP24" s="181">
        <v>600</v>
      </c>
      <c r="AQ24" s="67">
        <v>185</v>
      </c>
      <c r="AR24" s="50">
        <v>392</v>
      </c>
      <c r="AS24" s="50">
        <v>290</v>
      </c>
      <c r="AT24" s="50">
        <v>190</v>
      </c>
      <c r="AU24" s="50">
        <v>134</v>
      </c>
      <c r="AV24" s="50">
        <v>180</v>
      </c>
      <c r="AW24" s="50">
        <v>307</v>
      </c>
      <c r="AX24" s="50">
        <v>150</v>
      </c>
      <c r="AY24" s="203">
        <v>20</v>
      </c>
      <c r="AZ24" s="199">
        <v>24</v>
      </c>
      <c r="BA24" s="69">
        <v>477</v>
      </c>
      <c r="BB24" s="51">
        <v>508</v>
      </c>
      <c r="BC24" s="51">
        <v>319</v>
      </c>
      <c r="BD24" s="51">
        <v>500</v>
      </c>
      <c r="BE24" s="51">
        <v>366</v>
      </c>
      <c r="BF24" s="51">
        <v>400</v>
      </c>
      <c r="BG24" s="51">
        <v>1173</v>
      </c>
      <c r="BH24" s="51">
        <v>400</v>
      </c>
      <c r="BI24" s="207">
        <v>116</v>
      </c>
      <c r="BJ24" s="264">
        <v>220</v>
      </c>
      <c r="BK24" s="214">
        <v>2531</v>
      </c>
      <c r="BL24" s="56">
        <v>2216</v>
      </c>
      <c r="BM24" s="56">
        <v>1681</v>
      </c>
      <c r="BN24" s="56">
        <v>1959</v>
      </c>
      <c r="BO24" s="56">
        <v>2216</v>
      </c>
      <c r="BP24" s="56">
        <v>2831</v>
      </c>
      <c r="BQ24" s="56">
        <v>2150</v>
      </c>
      <c r="BR24" s="214">
        <v>2408</v>
      </c>
      <c r="BS24" s="211">
        <v>2700</v>
      </c>
      <c r="BT24" s="62">
        <v>37112</v>
      </c>
      <c r="BU24" s="47">
        <v>36734</v>
      </c>
      <c r="BV24" s="172"/>
      <c r="BW24" s="66">
        <v>188</v>
      </c>
      <c r="BX24" s="55">
        <v>50</v>
      </c>
      <c r="BY24" s="55">
        <v>122</v>
      </c>
      <c r="BZ24" s="53">
        <v>100</v>
      </c>
      <c r="CA24" s="53">
        <v>139</v>
      </c>
      <c r="CB24" s="53">
        <v>50</v>
      </c>
      <c r="CC24" s="256">
        <v>189</v>
      </c>
      <c r="CD24" s="71">
        <v>50</v>
      </c>
    </row>
    <row r="25" spans="1:82" x14ac:dyDescent="0.2">
      <c r="A25" s="59" t="s">
        <v>22</v>
      </c>
      <c r="B25" s="62">
        <v>56443</v>
      </c>
      <c r="C25" s="47">
        <v>56547</v>
      </c>
      <c r="D25" s="47">
        <v>57500</v>
      </c>
      <c r="E25" s="47">
        <v>57360</v>
      </c>
      <c r="F25" s="172">
        <v>57219</v>
      </c>
      <c r="G25" s="63">
        <v>2018</v>
      </c>
      <c r="H25" s="48">
        <v>1685</v>
      </c>
      <c r="I25" s="48">
        <v>1818</v>
      </c>
      <c r="J25" s="48">
        <v>1887</v>
      </c>
      <c r="K25" s="48">
        <v>1600</v>
      </c>
      <c r="L25" s="48">
        <v>3322</v>
      </c>
      <c r="M25" s="48">
        <v>3550</v>
      </c>
      <c r="N25" s="48">
        <v>2700</v>
      </c>
      <c r="O25" s="176">
        <v>3400</v>
      </c>
      <c r="P25" s="64">
        <v>641</v>
      </c>
      <c r="Q25" s="54">
        <v>471</v>
      </c>
      <c r="R25" s="54">
        <v>541</v>
      </c>
      <c r="S25" s="54">
        <v>439</v>
      </c>
      <c r="T25" s="54">
        <v>420</v>
      </c>
      <c r="U25" s="54">
        <v>818</v>
      </c>
      <c r="V25" s="54">
        <v>880</v>
      </c>
      <c r="W25" s="186">
        <v>1038</v>
      </c>
      <c r="X25" s="181">
        <v>1200</v>
      </c>
      <c r="Y25" s="66">
        <v>604</v>
      </c>
      <c r="Z25" s="55">
        <v>505</v>
      </c>
      <c r="AA25" s="55">
        <v>504</v>
      </c>
      <c r="AB25" s="55">
        <v>550</v>
      </c>
      <c r="AC25" s="55">
        <v>470</v>
      </c>
      <c r="AD25" s="55">
        <v>948</v>
      </c>
      <c r="AE25" s="55">
        <v>1300</v>
      </c>
      <c r="AF25" s="194">
        <v>649</v>
      </c>
      <c r="AG25" s="190">
        <v>1020</v>
      </c>
      <c r="AH25" s="64">
        <v>3728</v>
      </c>
      <c r="AI25" s="54">
        <v>3773</v>
      </c>
      <c r="AJ25" s="54">
        <v>1500</v>
      </c>
      <c r="AK25" s="54">
        <v>3943</v>
      </c>
      <c r="AL25" s="54">
        <v>3600</v>
      </c>
      <c r="AM25" s="54">
        <v>2964</v>
      </c>
      <c r="AN25" s="54">
        <v>3450</v>
      </c>
      <c r="AO25" s="186">
        <v>3075</v>
      </c>
      <c r="AP25" s="181">
        <v>1200</v>
      </c>
      <c r="AQ25" s="67">
        <v>60</v>
      </c>
      <c r="AR25" s="50">
        <v>72</v>
      </c>
      <c r="AS25" s="50">
        <v>66</v>
      </c>
      <c r="AT25" s="50">
        <v>60</v>
      </c>
      <c r="AU25" s="50">
        <v>37</v>
      </c>
      <c r="AV25" s="50">
        <v>60</v>
      </c>
      <c r="AW25" s="50">
        <v>11</v>
      </c>
      <c r="AX25" s="50">
        <v>20</v>
      </c>
      <c r="AY25" s="203">
        <v>5</v>
      </c>
      <c r="AZ25" s="199">
        <v>7</v>
      </c>
      <c r="BA25" s="69">
        <v>852</v>
      </c>
      <c r="BB25" s="51">
        <v>878</v>
      </c>
      <c r="BC25" s="51">
        <v>571</v>
      </c>
      <c r="BD25" s="51">
        <v>900</v>
      </c>
      <c r="BE25" s="51">
        <v>542</v>
      </c>
      <c r="BF25" s="51">
        <v>600</v>
      </c>
      <c r="BG25" s="51">
        <v>2926</v>
      </c>
      <c r="BH25" s="51">
        <v>350</v>
      </c>
      <c r="BI25" s="207">
        <v>66</v>
      </c>
      <c r="BJ25" s="264">
        <v>100</v>
      </c>
      <c r="BK25" s="214">
        <v>2385</v>
      </c>
      <c r="BL25" s="56">
        <v>2016</v>
      </c>
      <c r="BM25" s="56">
        <v>2200</v>
      </c>
      <c r="BN25" s="56">
        <v>2169</v>
      </c>
      <c r="BO25" s="56">
        <v>1920</v>
      </c>
      <c r="BP25" s="56">
        <v>3527</v>
      </c>
      <c r="BQ25" s="56">
        <v>4120</v>
      </c>
      <c r="BR25" s="214">
        <v>2898</v>
      </c>
      <c r="BS25" s="211">
        <v>3570</v>
      </c>
      <c r="BT25" s="62">
        <v>57674</v>
      </c>
      <c r="BU25" s="47">
        <v>57430</v>
      </c>
      <c r="BV25" s="172"/>
      <c r="BW25" s="66">
        <v>230</v>
      </c>
      <c r="BX25" s="55">
        <v>60</v>
      </c>
      <c r="BY25" s="55">
        <v>122</v>
      </c>
      <c r="BZ25" s="53">
        <v>100</v>
      </c>
      <c r="CA25" s="53">
        <v>185</v>
      </c>
      <c r="CB25" s="53">
        <v>70</v>
      </c>
      <c r="CC25" s="256">
        <v>239</v>
      </c>
      <c r="CD25" s="71">
        <v>50</v>
      </c>
    </row>
    <row r="26" spans="1:82" x14ac:dyDescent="0.2">
      <c r="A26" s="59" t="s">
        <v>23</v>
      </c>
      <c r="B26" s="62">
        <v>28182</v>
      </c>
      <c r="C26" s="47">
        <v>27595</v>
      </c>
      <c r="D26" s="47">
        <v>27903</v>
      </c>
      <c r="E26" s="47">
        <v>27763</v>
      </c>
      <c r="F26" s="172">
        <v>27782</v>
      </c>
      <c r="G26" s="63">
        <v>1584</v>
      </c>
      <c r="H26" s="48">
        <v>1373</v>
      </c>
      <c r="I26" s="48">
        <v>1290</v>
      </c>
      <c r="J26" s="48">
        <v>1287</v>
      </c>
      <c r="K26" s="48">
        <v>1220</v>
      </c>
      <c r="L26" s="48">
        <v>2044</v>
      </c>
      <c r="M26" s="48">
        <v>10.199999999999999</v>
      </c>
      <c r="N26" s="48">
        <v>1745</v>
      </c>
      <c r="O26" s="176">
        <v>2000</v>
      </c>
      <c r="P26" s="65">
        <v>774</v>
      </c>
      <c r="Q26" s="49">
        <v>607</v>
      </c>
      <c r="R26" s="49">
        <v>500</v>
      </c>
      <c r="S26" s="49">
        <v>487</v>
      </c>
      <c r="T26" s="49">
        <v>457</v>
      </c>
      <c r="U26" s="49">
        <v>681</v>
      </c>
      <c r="V26" s="49">
        <v>520</v>
      </c>
      <c r="W26" s="187">
        <v>779</v>
      </c>
      <c r="X26" s="182">
        <v>658</v>
      </c>
      <c r="Y26" s="63">
        <v>438</v>
      </c>
      <c r="Z26" s="48">
        <v>373</v>
      </c>
      <c r="AA26" s="48">
        <v>250</v>
      </c>
      <c r="AB26" s="48">
        <v>358</v>
      </c>
      <c r="AC26" s="48">
        <v>198</v>
      </c>
      <c r="AD26" s="48">
        <v>588</v>
      </c>
      <c r="AE26" s="48">
        <v>400</v>
      </c>
      <c r="AF26" s="168">
        <v>449</v>
      </c>
      <c r="AG26" s="176">
        <v>370</v>
      </c>
      <c r="AH26" s="65">
        <v>1455</v>
      </c>
      <c r="AI26" s="49">
        <v>1371</v>
      </c>
      <c r="AJ26" s="49">
        <v>1470</v>
      </c>
      <c r="AK26" s="49">
        <v>1757</v>
      </c>
      <c r="AL26" s="49">
        <v>1500</v>
      </c>
      <c r="AM26" s="49">
        <v>1311</v>
      </c>
      <c r="AN26" s="49">
        <v>1683</v>
      </c>
      <c r="AO26" s="187">
        <v>1501</v>
      </c>
      <c r="AP26" s="182">
        <v>1052</v>
      </c>
      <c r="AQ26" s="68">
        <v>74</v>
      </c>
      <c r="AR26" s="57">
        <v>61</v>
      </c>
      <c r="AS26" s="57">
        <v>48</v>
      </c>
      <c r="AT26" s="57">
        <v>80</v>
      </c>
      <c r="AU26" s="57">
        <v>31</v>
      </c>
      <c r="AV26" s="57">
        <v>65</v>
      </c>
      <c r="AW26" s="57">
        <v>108</v>
      </c>
      <c r="AX26" s="57">
        <v>35</v>
      </c>
      <c r="AY26" s="204">
        <v>15</v>
      </c>
      <c r="AZ26" s="200">
        <v>28</v>
      </c>
      <c r="BA26" s="70" t="s">
        <v>91</v>
      </c>
      <c r="BB26" s="58">
        <v>388</v>
      </c>
      <c r="BC26" s="58">
        <v>350</v>
      </c>
      <c r="BD26" s="58">
        <v>388</v>
      </c>
      <c r="BE26" s="58">
        <v>364</v>
      </c>
      <c r="BF26" s="58">
        <v>400</v>
      </c>
      <c r="BG26" s="58">
        <v>897</v>
      </c>
      <c r="BH26" s="58">
        <v>363</v>
      </c>
      <c r="BI26" s="208">
        <v>49</v>
      </c>
      <c r="BJ26" s="265">
        <v>115</v>
      </c>
      <c r="BK26" s="215">
        <v>1957</v>
      </c>
      <c r="BL26" s="52">
        <v>1661</v>
      </c>
      <c r="BM26" s="52">
        <v>1720</v>
      </c>
      <c r="BN26" s="52">
        <v>1579</v>
      </c>
      <c r="BO26" s="52">
        <v>1540</v>
      </c>
      <c r="BP26" s="52">
        <v>2293</v>
      </c>
      <c r="BQ26" s="56" t="s">
        <v>91</v>
      </c>
      <c r="BR26" s="214">
        <v>1953</v>
      </c>
      <c r="BS26" s="211">
        <v>2113</v>
      </c>
      <c r="BT26" s="62">
        <v>27948</v>
      </c>
      <c r="BU26" s="47">
        <v>27792</v>
      </c>
      <c r="BV26" s="172"/>
      <c r="BW26" s="63">
        <v>196</v>
      </c>
      <c r="BX26" s="48">
        <v>123</v>
      </c>
      <c r="BY26" s="48">
        <v>93</v>
      </c>
      <c r="BZ26" s="53">
        <v>95</v>
      </c>
      <c r="CA26" s="53">
        <v>111</v>
      </c>
      <c r="CB26" s="53">
        <v>120</v>
      </c>
      <c r="CC26" s="256">
        <v>129</v>
      </c>
      <c r="CD26" s="71">
        <v>74</v>
      </c>
    </row>
    <row r="27" spans="1:82" x14ac:dyDescent="0.2">
      <c r="A27" s="59" t="s">
        <v>24</v>
      </c>
      <c r="B27" s="62">
        <v>111923</v>
      </c>
      <c r="C27" s="47">
        <v>111210</v>
      </c>
      <c r="D27" s="47">
        <v>113049</v>
      </c>
      <c r="E27" s="47">
        <v>112819</v>
      </c>
      <c r="F27" s="172">
        <v>112286</v>
      </c>
      <c r="G27" s="63">
        <v>4705</v>
      </c>
      <c r="H27" s="48">
        <v>4069</v>
      </c>
      <c r="I27" s="48">
        <v>3350</v>
      </c>
      <c r="J27" s="48">
        <v>4394</v>
      </c>
      <c r="K27" s="48">
        <v>3405</v>
      </c>
      <c r="L27" s="48">
        <v>6886</v>
      </c>
      <c r="M27" s="48">
        <v>4060</v>
      </c>
      <c r="N27" s="48">
        <v>5761</v>
      </c>
      <c r="O27" s="176">
        <v>6050</v>
      </c>
      <c r="P27" s="65">
        <v>1877</v>
      </c>
      <c r="Q27" s="49">
        <v>1385</v>
      </c>
      <c r="R27" s="49">
        <v>977</v>
      </c>
      <c r="S27" s="49">
        <v>1282</v>
      </c>
      <c r="T27" s="49">
        <v>935</v>
      </c>
      <c r="U27" s="49">
        <v>2042</v>
      </c>
      <c r="V27" s="49">
        <v>1130</v>
      </c>
      <c r="W27" s="187">
        <v>2592</v>
      </c>
      <c r="X27" s="182">
        <v>2400</v>
      </c>
      <c r="Y27" s="63">
        <v>1396</v>
      </c>
      <c r="Z27" s="48">
        <v>1174</v>
      </c>
      <c r="AA27" s="48">
        <v>796</v>
      </c>
      <c r="AB27" s="48">
        <v>1274</v>
      </c>
      <c r="AC27" s="48">
        <v>924</v>
      </c>
      <c r="AD27" s="48">
        <v>1945</v>
      </c>
      <c r="AE27" s="48">
        <v>1095</v>
      </c>
      <c r="AF27" s="168">
        <v>1478</v>
      </c>
      <c r="AG27" s="176">
        <v>1505</v>
      </c>
      <c r="AH27" s="65">
        <v>10044</v>
      </c>
      <c r="AI27" s="49">
        <v>10811</v>
      </c>
      <c r="AJ27" s="49">
        <v>11000</v>
      </c>
      <c r="AK27" s="49">
        <v>13690</v>
      </c>
      <c r="AL27" s="49">
        <v>11500</v>
      </c>
      <c r="AM27" s="49">
        <v>7626</v>
      </c>
      <c r="AN27" s="49">
        <v>13100</v>
      </c>
      <c r="AO27" s="187">
        <v>9164</v>
      </c>
      <c r="AP27" s="182">
        <v>9900</v>
      </c>
      <c r="AQ27" s="68" t="s">
        <v>91</v>
      </c>
      <c r="AR27" s="57">
        <v>264</v>
      </c>
      <c r="AS27" s="57">
        <v>209</v>
      </c>
      <c r="AT27" s="57" t="s">
        <v>91</v>
      </c>
      <c r="AU27" s="57">
        <v>133</v>
      </c>
      <c r="AV27" s="57">
        <v>230</v>
      </c>
      <c r="AW27" s="57">
        <v>286</v>
      </c>
      <c r="AX27" s="57">
        <v>140</v>
      </c>
      <c r="AY27" s="204">
        <v>16</v>
      </c>
      <c r="AZ27" s="200">
        <v>41</v>
      </c>
      <c r="BA27" s="70" t="s">
        <v>91</v>
      </c>
      <c r="BB27" s="58">
        <v>491</v>
      </c>
      <c r="BC27" s="58">
        <v>425</v>
      </c>
      <c r="BD27" s="58" t="s">
        <v>91</v>
      </c>
      <c r="BE27" s="58">
        <v>375</v>
      </c>
      <c r="BF27" s="58">
        <v>450</v>
      </c>
      <c r="BG27" s="58">
        <v>828</v>
      </c>
      <c r="BH27" s="58">
        <v>400</v>
      </c>
      <c r="BI27" s="208">
        <v>94</v>
      </c>
      <c r="BJ27" s="265">
        <v>50</v>
      </c>
      <c r="BK27" s="215">
        <v>5570</v>
      </c>
      <c r="BL27" s="52">
        <v>4880</v>
      </c>
      <c r="BM27" s="52">
        <v>4100</v>
      </c>
      <c r="BN27" s="52">
        <v>5182</v>
      </c>
      <c r="BO27" s="52">
        <v>4215</v>
      </c>
      <c r="BP27" s="52">
        <v>7527</v>
      </c>
      <c r="BQ27" s="52">
        <v>4895</v>
      </c>
      <c r="BR27" s="215">
        <v>6328</v>
      </c>
      <c r="BS27" s="212">
        <v>6690</v>
      </c>
      <c r="BT27" s="62">
        <v>113430</v>
      </c>
      <c r="BU27" s="47">
        <v>112881</v>
      </c>
      <c r="BV27" s="172"/>
      <c r="BW27" s="63">
        <v>257</v>
      </c>
      <c r="BX27" s="48">
        <v>142</v>
      </c>
      <c r="BY27" s="48">
        <v>168</v>
      </c>
      <c r="BZ27" s="53">
        <v>143</v>
      </c>
      <c r="CA27" s="53">
        <v>290</v>
      </c>
      <c r="CB27" s="53" t="s">
        <v>91</v>
      </c>
      <c r="CC27" s="256">
        <v>290</v>
      </c>
      <c r="CD27" s="71">
        <v>181</v>
      </c>
    </row>
    <row r="28" spans="1:82" x14ac:dyDescent="0.2">
      <c r="A28" s="61" t="s">
        <v>25</v>
      </c>
      <c r="B28" s="62">
        <v>59807</v>
      </c>
      <c r="C28" s="47">
        <v>64268</v>
      </c>
      <c r="D28" s="47">
        <v>64411</v>
      </c>
      <c r="E28" s="47">
        <v>65271</v>
      </c>
      <c r="F28" s="172">
        <v>61900</v>
      </c>
      <c r="G28" s="63">
        <v>2559</v>
      </c>
      <c r="H28" s="48">
        <v>2175</v>
      </c>
      <c r="I28" s="48">
        <v>2178</v>
      </c>
      <c r="J28" s="48">
        <v>2124</v>
      </c>
      <c r="K28" s="48">
        <v>1928</v>
      </c>
      <c r="L28" s="48">
        <v>3196</v>
      </c>
      <c r="M28" s="48">
        <v>3500</v>
      </c>
      <c r="N28" s="48">
        <v>2826</v>
      </c>
      <c r="O28" s="176">
        <v>3080</v>
      </c>
      <c r="P28" s="65">
        <v>1050</v>
      </c>
      <c r="Q28" s="49">
        <v>759</v>
      </c>
      <c r="R28" s="49">
        <v>750</v>
      </c>
      <c r="S28" s="49">
        <v>592</v>
      </c>
      <c r="T28" s="49">
        <v>675</v>
      </c>
      <c r="U28" s="49">
        <v>889</v>
      </c>
      <c r="V28" s="49">
        <v>1000</v>
      </c>
      <c r="W28" s="187">
        <v>1211</v>
      </c>
      <c r="X28" s="182">
        <v>880</v>
      </c>
      <c r="Y28" s="66">
        <v>636</v>
      </c>
      <c r="Z28" s="55">
        <v>566</v>
      </c>
      <c r="AA28" s="55">
        <v>436</v>
      </c>
      <c r="AB28" s="55">
        <v>588</v>
      </c>
      <c r="AC28" s="55">
        <v>500</v>
      </c>
      <c r="AD28" s="55">
        <v>800</v>
      </c>
      <c r="AE28" s="55">
        <v>820</v>
      </c>
      <c r="AF28" s="194">
        <v>639</v>
      </c>
      <c r="AG28" s="190">
        <v>730</v>
      </c>
      <c r="AH28" s="64">
        <v>4788</v>
      </c>
      <c r="AI28" s="54">
        <v>3891</v>
      </c>
      <c r="AJ28" s="54">
        <v>420</v>
      </c>
      <c r="AK28" s="54">
        <v>4705</v>
      </c>
      <c r="AL28" s="54">
        <v>490</v>
      </c>
      <c r="AM28" s="54">
        <v>3723</v>
      </c>
      <c r="AN28" s="54">
        <v>350</v>
      </c>
      <c r="AO28" s="186">
        <v>3610</v>
      </c>
      <c r="AP28" s="181">
        <v>3900</v>
      </c>
      <c r="AQ28" s="67">
        <v>104</v>
      </c>
      <c r="AR28" s="50">
        <v>104</v>
      </c>
      <c r="AS28" s="50">
        <v>82</v>
      </c>
      <c r="AT28" s="50">
        <v>120</v>
      </c>
      <c r="AU28" s="50">
        <v>42</v>
      </c>
      <c r="AV28" s="50">
        <v>110</v>
      </c>
      <c r="AW28" s="50">
        <v>77</v>
      </c>
      <c r="AX28" s="50">
        <v>20</v>
      </c>
      <c r="AY28" s="203">
        <v>13</v>
      </c>
      <c r="AZ28" s="199">
        <v>42</v>
      </c>
      <c r="BA28" s="69">
        <v>314</v>
      </c>
      <c r="BB28" s="51">
        <v>301</v>
      </c>
      <c r="BC28" s="51">
        <v>234</v>
      </c>
      <c r="BD28" s="51">
        <v>320</v>
      </c>
      <c r="BE28" s="51">
        <v>219</v>
      </c>
      <c r="BF28" s="51">
        <v>340</v>
      </c>
      <c r="BG28" s="51">
        <v>905</v>
      </c>
      <c r="BH28" s="51">
        <v>50</v>
      </c>
      <c r="BI28" s="207">
        <v>98</v>
      </c>
      <c r="BJ28" s="264">
        <v>120</v>
      </c>
      <c r="BK28" s="214">
        <v>2874</v>
      </c>
      <c r="BL28" s="56">
        <v>2505</v>
      </c>
      <c r="BM28" s="56">
        <v>2474</v>
      </c>
      <c r="BN28" s="56">
        <v>2489</v>
      </c>
      <c r="BO28" s="56">
        <v>2320</v>
      </c>
      <c r="BP28" s="56">
        <v>3401</v>
      </c>
      <c r="BQ28" s="56">
        <v>3700</v>
      </c>
      <c r="BR28" s="214">
        <v>2988</v>
      </c>
      <c r="BS28" s="211">
        <v>3150</v>
      </c>
      <c r="BT28" s="62">
        <v>64590</v>
      </c>
      <c r="BU28" s="47">
        <v>65177</v>
      </c>
      <c r="BV28" s="172"/>
      <c r="BW28" s="66">
        <v>111</v>
      </c>
      <c r="BX28" s="55">
        <v>120</v>
      </c>
      <c r="BY28" s="55">
        <v>104</v>
      </c>
      <c r="BZ28" s="53">
        <v>100</v>
      </c>
      <c r="CA28" s="53">
        <v>153</v>
      </c>
      <c r="CB28" s="53">
        <v>70</v>
      </c>
      <c r="CC28" s="256">
        <v>156</v>
      </c>
      <c r="CD28" s="71">
        <v>120</v>
      </c>
    </row>
    <row r="29" spans="1:82" x14ac:dyDescent="0.2">
      <c r="A29" s="60" t="s">
        <v>26</v>
      </c>
      <c r="B29" s="62">
        <v>44570</v>
      </c>
      <c r="C29" s="47">
        <v>46642</v>
      </c>
      <c r="D29" s="47">
        <v>46557</v>
      </c>
      <c r="E29" s="47">
        <v>47235</v>
      </c>
      <c r="F29" s="172">
        <v>45038</v>
      </c>
      <c r="G29" s="63">
        <v>3008</v>
      </c>
      <c r="H29" s="48">
        <v>2513</v>
      </c>
      <c r="I29" s="48">
        <v>2680</v>
      </c>
      <c r="J29" s="48">
        <v>2504</v>
      </c>
      <c r="K29" s="48">
        <v>2262</v>
      </c>
      <c r="L29" s="48">
        <v>3610</v>
      </c>
      <c r="M29" s="48">
        <v>3500</v>
      </c>
      <c r="N29" s="48">
        <v>2988</v>
      </c>
      <c r="O29" s="176">
        <v>3300</v>
      </c>
      <c r="P29" s="65">
        <v>1524</v>
      </c>
      <c r="Q29" s="49">
        <v>1182</v>
      </c>
      <c r="R29" s="49">
        <v>1340</v>
      </c>
      <c r="S29" s="49">
        <v>974</v>
      </c>
      <c r="T29" s="49">
        <v>1064</v>
      </c>
      <c r="U29" s="49">
        <v>1284</v>
      </c>
      <c r="V29" s="49">
        <v>1120</v>
      </c>
      <c r="W29" s="187">
        <v>1468</v>
      </c>
      <c r="X29" s="182">
        <v>1435</v>
      </c>
      <c r="Y29" s="66">
        <v>666</v>
      </c>
      <c r="Z29" s="55">
        <v>598</v>
      </c>
      <c r="AA29" s="55">
        <v>533</v>
      </c>
      <c r="AB29" s="55">
        <v>625</v>
      </c>
      <c r="AC29" s="55">
        <v>533</v>
      </c>
      <c r="AD29" s="55">
        <v>861</v>
      </c>
      <c r="AE29" s="55">
        <v>850</v>
      </c>
      <c r="AF29" s="194">
        <v>660</v>
      </c>
      <c r="AG29" s="190">
        <v>800</v>
      </c>
      <c r="AH29" s="64">
        <v>3216</v>
      </c>
      <c r="AI29" s="54">
        <v>3077</v>
      </c>
      <c r="AJ29" s="54">
        <v>2000</v>
      </c>
      <c r="AK29" s="54">
        <v>2326</v>
      </c>
      <c r="AL29" s="54">
        <v>2200</v>
      </c>
      <c r="AM29" s="54">
        <v>2200</v>
      </c>
      <c r="AN29" s="54">
        <v>1800</v>
      </c>
      <c r="AO29" s="186">
        <v>2342</v>
      </c>
      <c r="AP29" s="181">
        <v>2350</v>
      </c>
      <c r="AQ29" s="67">
        <v>45</v>
      </c>
      <c r="AR29" s="50">
        <v>44</v>
      </c>
      <c r="AS29" s="50">
        <v>80</v>
      </c>
      <c r="AT29" s="50">
        <v>85</v>
      </c>
      <c r="AU29" s="50">
        <v>64</v>
      </c>
      <c r="AV29" s="50">
        <v>80</v>
      </c>
      <c r="AW29" s="50">
        <v>60</v>
      </c>
      <c r="AX29" s="50">
        <v>8</v>
      </c>
      <c r="AY29" s="203">
        <v>21</v>
      </c>
      <c r="AZ29" s="199">
        <v>30</v>
      </c>
      <c r="BA29" s="69">
        <v>971</v>
      </c>
      <c r="BB29" s="51">
        <v>973</v>
      </c>
      <c r="BC29" s="51">
        <v>664</v>
      </c>
      <c r="BD29" s="51">
        <v>900</v>
      </c>
      <c r="BE29" s="51">
        <v>687</v>
      </c>
      <c r="BF29" s="51">
        <v>660</v>
      </c>
      <c r="BG29" s="51">
        <v>2143</v>
      </c>
      <c r="BH29" s="51">
        <v>350</v>
      </c>
      <c r="BI29" s="207">
        <v>166</v>
      </c>
      <c r="BJ29" s="264">
        <v>120</v>
      </c>
      <c r="BK29" s="214">
        <v>3479</v>
      </c>
      <c r="BL29" s="56">
        <v>3015</v>
      </c>
      <c r="BM29" s="56">
        <v>3131</v>
      </c>
      <c r="BN29" s="56">
        <v>2994</v>
      </c>
      <c r="BO29" s="56">
        <v>2713</v>
      </c>
      <c r="BP29" s="56">
        <v>3898</v>
      </c>
      <c r="BQ29" s="56">
        <v>3800</v>
      </c>
      <c r="BR29" s="214">
        <v>3247</v>
      </c>
      <c r="BS29" s="211">
        <v>3500</v>
      </c>
      <c r="BT29" s="62">
        <v>46681</v>
      </c>
      <c r="BU29" s="47">
        <v>47257</v>
      </c>
      <c r="BV29" s="172"/>
      <c r="BW29" s="66">
        <v>284</v>
      </c>
      <c r="BX29" s="55">
        <v>80</v>
      </c>
      <c r="BY29" s="55">
        <v>205</v>
      </c>
      <c r="BZ29" s="53">
        <v>280</v>
      </c>
      <c r="CA29" s="53">
        <v>255</v>
      </c>
      <c r="CB29" s="53">
        <v>150</v>
      </c>
      <c r="CC29" s="256">
        <v>265</v>
      </c>
      <c r="CD29" s="71">
        <v>220</v>
      </c>
    </row>
    <row r="30" spans="1:82" x14ac:dyDescent="0.2">
      <c r="A30" s="59" t="s">
        <v>27</v>
      </c>
      <c r="B30" s="62">
        <v>30842</v>
      </c>
      <c r="C30" s="47">
        <v>31941</v>
      </c>
      <c r="D30" s="47">
        <v>31791</v>
      </c>
      <c r="E30" s="47">
        <v>32325</v>
      </c>
      <c r="F30" s="172">
        <v>31102</v>
      </c>
      <c r="G30" s="63">
        <v>1837</v>
      </c>
      <c r="H30" s="48">
        <v>1411</v>
      </c>
      <c r="I30" s="48">
        <v>887</v>
      </c>
      <c r="J30" s="48">
        <v>1404</v>
      </c>
      <c r="K30" s="48">
        <v>880</v>
      </c>
      <c r="L30" s="48">
        <v>2807</v>
      </c>
      <c r="M30" s="48">
        <v>4200</v>
      </c>
      <c r="N30" s="48">
        <v>2085</v>
      </c>
      <c r="O30" s="176">
        <v>2500</v>
      </c>
      <c r="P30" s="65">
        <v>1155</v>
      </c>
      <c r="Q30" s="49">
        <v>850</v>
      </c>
      <c r="R30" s="49">
        <v>335</v>
      </c>
      <c r="S30" s="49">
        <v>777</v>
      </c>
      <c r="T30" s="49">
        <v>490</v>
      </c>
      <c r="U30" s="49">
        <v>1228</v>
      </c>
      <c r="V30" s="49">
        <v>1700</v>
      </c>
      <c r="W30" s="187">
        <v>1256</v>
      </c>
      <c r="X30" s="182">
        <v>980</v>
      </c>
      <c r="Y30" s="66">
        <v>561</v>
      </c>
      <c r="Z30" s="55">
        <v>463</v>
      </c>
      <c r="AA30" s="55">
        <v>181</v>
      </c>
      <c r="AB30" s="55">
        <v>535</v>
      </c>
      <c r="AC30" s="55">
        <v>300</v>
      </c>
      <c r="AD30" s="55">
        <v>806</v>
      </c>
      <c r="AE30" s="55">
        <v>990</v>
      </c>
      <c r="AF30" s="194">
        <v>586</v>
      </c>
      <c r="AG30" s="190">
        <v>640</v>
      </c>
      <c r="AH30" s="64">
        <v>1248</v>
      </c>
      <c r="AI30" s="54">
        <v>1087</v>
      </c>
      <c r="AJ30" s="54">
        <v>1500</v>
      </c>
      <c r="AK30" s="54">
        <v>1078</v>
      </c>
      <c r="AL30" s="54">
        <v>2100</v>
      </c>
      <c r="AM30" s="54">
        <v>853</v>
      </c>
      <c r="AN30" s="54">
        <v>1000</v>
      </c>
      <c r="AO30" s="186">
        <v>815</v>
      </c>
      <c r="AP30" s="181">
        <v>900</v>
      </c>
      <c r="AQ30" s="67">
        <v>47</v>
      </c>
      <c r="AR30" s="50">
        <v>47</v>
      </c>
      <c r="AS30" s="50">
        <v>20</v>
      </c>
      <c r="AT30" s="50">
        <v>40</v>
      </c>
      <c r="AU30" s="50">
        <v>70</v>
      </c>
      <c r="AV30" s="50">
        <v>70</v>
      </c>
      <c r="AW30" s="50">
        <v>375</v>
      </c>
      <c r="AX30" s="50">
        <v>40</v>
      </c>
      <c r="AY30" s="203">
        <v>9</v>
      </c>
      <c r="AZ30" s="199">
        <v>40</v>
      </c>
      <c r="BA30" s="69">
        <v>684</v>
      </c>
      <c r="BB30" s="51">
        <v>625</v>
      </c>
      <c r="BC30" s="51">
        <v>164</v>
      </c>
      <c r="BD30" s="51">
        <v>500</v>
      </c>
      <c r="BE30" s="51">
        <v>225</v>
      </c>
      <c r="BF30" s="51">
        <v>250</v>
      </c>
      <c r="BG30" s="51">
        <v>800</v>
      </c>
      <c r="BH30" s="51">
        <v>200</v>
      </c>
      <c r="BI30" s="207">
        <v>77</v>
      </c>
      <c r="BJ30" s="264">
        <v>200</v>
      </c>
      <c r="BK30" s="214">
        <v>2614</v>
      </c>
      <c r="BL30" s="56">
        <v>2230</v>
      </c>
      <c r="BM30" s="56">
        <v>1400</v>
      </c>
      <c r="BN30" s="56">
        <v>2269</v>
      </c>
      <c r="BO30" s="56">
        <v>1590</v>
      </c>
      <c r="BP30" s="56">
        <v>3234</v>
      </c>
      <c r="BQ30" s="56">
        <v>4900</v>
      </c>
      <c r="BR30" s="214">
        <v>2511</v>
      </c>
      <c r="BS30" s="211">
        <v>3100</v>
      </c>
      <c r="BT30" s="62">
        <v>31848</v>
      </c>
      <c r="BU30" s="47">
        <v>32387</v>
      </c>
      <c r="BV30" s="172"/>
      <c r="BW30" s="66">
        <v>185</v>
      </c>
      <c r="BX30" s="55">
        <v>280</v>
      </c>
      <c r="BY30" s="55">
        <v>219</v>
      </c>
      <c r="BZ30" s="53">
        <v>280</v>
      </c>
      <c r="CA30" s="53">
        <v>267</v>
      </c>
      <c r="CB30" s="53">
        <v>100</v>
      </c>
      <c r="CC30" s="256">
        <v>333</v>
      </c>
      <c r="CD30" s="71">
        <v>250</v>
      </c>
    </row>
    <row r="31" spans="1:82" x14ac:dyDescent="0.2">
      <c r="A31" s="59" t="s">
        <v>28</v>
      </c>
      <c r="B31" s="62">
        <v>44944</v>
      </c>
      <c r="C31" s="47">
        <v>45903</v>
      </c>
      <c r="D31" s="47">
        <v>45525</v>
      </c>
      <c r="E31" s="47">
        <v>45868</v>
      </c>
      <c r="F31" s="172">
        <v>44489</v>
      </c>
      <c r="G31" s="63">
        <v>4875</v>
      </c>
      <c r="H31" s="48">
        <v>4110</v>
      </c>
      <c r="I31" s="48">
        <v>3375</v>
      </c>
      <c r="J31" s="48">
        <v>3959</v>
      </c>
      <c r="K31" s="48">
        <v>3560</v>
      </c>
      <c r="L31" s="48">
        <v>5788</v>
      </c>
      <c r="M31" s="48">
        <v>5200</v>
      </c>
      <c r="N31" s="48">
        <v>5025</v>
      </c>
      <c r="O31" s="176">
        <v>5788</v>
      </c>
      <c r="P31" s="65">
        <v>3245</v>
      </c>
      <c r="Q31" s="49">
        <v>2538</v>
      </c>
      <c r="R31" s="49">
        <v>2100</v>
      </c>
      <c r="S31" s="49">
        <v>2294</v>
      </c>
      <c r="T31" s="49">
        <v>2100</v>
      </c>
      <c r="U31" s="49">
        <v>2799</v>
      </c>
      <c r="V31" s="49">
        <v>2400</v>
      </c>
      <c r="W31" s="187">
        <v>2975</v>
      </c>
      <c r="X31" s="182">
        <v>2799</v>
      </c>
      <c r="Y31" s="66">
        <v>1255</v>
      </c>
      <c r="Z31" s="55">
        <v>1039</v>
      </c>
      <c r="AA31" s="55">
        <v>851</v>
      </c>
      <c r="AB31" s="55">
        <v>1000</v>
      </c>
      <c r="AC31" s="55">
        <v>849</v>
      </c>
      <c r="AD31" s="55">
        <v>1446</v>
      </c>
      <c r="AE31" s="55">
        <v>1100</v>
      </c>
      <c r="AF31" s="194">
        <v>1134</v>
      </c>
      <c r="AG31" s="190">
        <v>1446</v>
      </c>
      <c r="AH31" s="64">
        <v>2197</v>
      </c>
      <c r="AI31" s="54">
        <v>1413</v>
      </c>
      <c r="AJ31" s="54">
        <v>2400</v>
      </c>
      <c r="AK31" s="54">
        <v>2410</v>
      </c>
      <c r="AL31" s="54">
        <v>2400</v>
      </c>
      <c r="AM31" s="54">
        <v>1749</v>
      </c>
      <c r="AN31" s="54">
        <v>2100</v>
      </c>
      <c r="AO31" s="186">
        <v>1562</v>
      </c>
      <c r="AP31" s="181">
        <v>1500</v>
      </c>
      <c r="AQ31" s="67">
        <v>78</v>
      </c>
      <c r="AR31" s="50">
        <v>118</v>
      </c>
      <c r="AS31" s="50">
        <v>68</v>
      </c>
      <c r="AT31" s="50">
        <v>83</v>
      </c>
      <c r="AU31" s="50">
        <v>85</v>
      </c>
      <c r="AV31" s="50">
        <v>78</v>
      </c>
      <c r="AW31" s="50">
        <v>345</v>
      </c>
      <c r="AX31" s="50">
        <v>68</v>
      </c>
      <c r="AY31" s="203">
        <v>25</v>
      </c>
      <c r="AZ31" s="199">
        <v>20</v>
      </c>
      <c r="BA31" s="69">
        <v>976</v>
      </c>
      <c r="BB31" s="51">
        <v>977</v>
      </c>
      <c r="BC31" s="51">
        <v>815</v>
      </c>
      <c r="BD31" s="51">
        <v>1000</v>
      </c>
      <c r="BE31" s="51">
        <v>821</v>
      </c>
      <c r="BF31" s="51">
        <v>890</v>
      </c>
      <c r="BG31" s="51">
        <v>4417</v>
      </c>
      <c r="BH31" s="51">
        <v>750</v>
      </c>
      <c r="BI31" s="207">
        <v>336</v>
      </c>
      <c r="BJ31" s="264">
        <v>560</v>
      </c>
      <c r="BK31" s="214">
        <v>5980</v>
      </c>
      <c r="BL31" s="56">
        <v>5186</v>
      </c>
      <c r="BM31" s="56">
        <v>4480</v>
      </c>
      <c r="BN31" s="56">
        <v>4937</v>
      </c>
      <c r="BO31" s="56">
        <v>4500</v>
      </c>
      <c r="BP31" s="56">
        <v>6375</v>
      </c>
      <c r="BQ31" s="56">
        <v>6000</v>
      </c>
      <c r="BR31" s="214">
        <v>5523</v>
      </c>
      <c r="BS31" s="211">
        <v>6375</v>
      </c>
      <c r="BT31" s="62">
        <v>45518</v>
      </c>
      <c r="BU31" s="47">
        <v>46017</v>
      </c>
      <c r="BV31" s="172"/>
      <c r="BW31" s="66">
        <v>530</v>
      </c>
      <c r="BX31" s="55">
        <v>390</v>
      </c>
      <c r="BY31" s="55">
        <v>537</v>
      </c>
      <c r="BZ31" s="53">
        <v>350</v>
      </c>
      <c r="CA31" s="53">
        <v>675</v>
      </c>
      <c r="CB31" s="53">
        <v>600</v>
      </c>
      <c r="CC31" s="256">
        <v>634</v>
      </c>
      <c r="CD31" s="71">
        <v>675</v>
      </c>
    </row>
    <row r="32" spans="1:82" x14ac:dyDescent="0.2">
      <c r="A32" s="61" t="s">
        <v>29</v>
      </c>
      <c r="B32" s="62">
        <v>18530</v>
      </c>
      <c r="C32" s="47">
        <v>18230</v>
      </c>
      <c r="D32" s="47">
        <v>18026</v>
      </c>
      <c r="E32" s="47">
        <v>18113</v>
      </c>
      <c r="F32" s="172">
        <v>17766</v>
      </c>
      <c r="G32" s="63">
        <v>2757</v>
      </c>
      <c r="H32" s="48">
        <v>2500</v>
      </c>
      <c r="I32" s="48">
        <v>2500</v>
      </c>
      <c r="J32" s="48">
        <v>2268</v>
      </c>
      <c r="K32" s="48">
        <v>2450</v>
      </c>
      <c r="L32" s="48">
        <v>3322</v>
      </c>
      <c r="M32" s="48">
        <v>3300</v>
      </c>
      <c r="N32" s="48">
        <v>3198</v>
      </c>
      <c r="O32" s="176">
        <v>3500</v>
      </c>
      <c r="P32" s="65">
        <v>2240</v>
      </c>
      <c r="Q32" s="49">
        <v>1759</v>
      </c>
      <c r="R32" s="49">
        <v>2016</v>
      </c>
      <c r="S32" s="49">
        <v>1695</v>
      </c>
      <c r="T32" s="49">
        <v>1700</v>
      </c>
      <c r="U32" s="49">
        <v>2079</v>
      </c>
      <c r="V32" s="49">
        <v>2000</v>
      </c>
      <c r="W32" s="187">
        <v>2455</v>
      </c>
      <c r="X32" s="182">
        <v>2400</v>
      </c>
      <c r="Y32" s="66">
        <v>761</v>
      </c>
      <c r="Z32" s="55">
        <v>581</v>
      </c>
      <c r="AA32" s="55">
        <v>601</v>
      </c>
      <c r="AB32" s="55">
        <v>635</v>
      </c>
      <c r="AC32" s="55">
        <v>550</v>
      </c>
      <c r="AD32" s="55">
        <v>815</v>
      </c>
      <c r="AE32" s="55">
        <v>950</v>
      </c>
      <c r="AF32" s="194">
        <v>682</v>
      </c>
      <c r="AG32" s="190">
        <v>800</v>
      </c>
      <c r="AH32" s="64">
        <v>1471</v>
      </c>
      <c r="AI32" s="54">
        <v>1309</v>
      </c>
      <c r="AJ32" s="54">
        <v>1480</v>
      </c>
      <c r="AK32" s="54">
        <v>1542</v>
      </c>
      <c r="AL32" s="54">
        <v>1400</v>
      </c>
      <c r="AM32" s="54">
        <v>1286</v>
      </c>
      <c r="AN32" s="54">
        <v>900</v>
      </c>
      <c r="AO32" s="186">
        <v>1355</v>
      </c>
      <c r="AP32" s="181">
        <v>950</v>
      </c>
      <c r="AQ32" s="67">
        <v>112</v>
      </c>
      <c r="AR32" s="50">
        <v>117</v>
      </c>
      <c r="AS32" s="50">
        <v>92</v>
      </c>
      <c r="AT32" s="50">
        <v>112</v>
      </c>
      <c r="AU32" s="50">
        <v>103</v>
      </c>
      <c r="AV32" s="50">
        <v>100</v>
      </c>
      <c r="AW32" s="50">
        <v>397</v>
      </c>
      <c r="AX32" s="50">
        <v>60</v>
      </c>
      <c r="AY32" s="203">
        <v>39</v>
      </c>
      <c r="AZ32" s="199">
        <v>40</v>
      </c>
      <c r="BA32" s="69" t="s">
        <v>91</v>
      </c>
      <c r="BB32" s="51">
        <v>991</v>
      </c>
      <c r="BC32" s="51">
        <v>908</v>
      </c>
      <c r="BD32" s="51" t="s">
        <v>91</v>
      </c>
      <c r="BE32" s="51">
        <v>931</v>
      </c>
      <c r="BF32" s="51">
        <v>950</v>
      </c>
      <c r="BG32" s="51">
        <v>2754</v>
      </c>
      <c r="BH32" s="51">
        <v>400</v>
      </c>
      <c r="BI32" s="207">
        <v>212</v>
      </c>
      <c r="BJ32" s="264">
        <v>200</v>
      </c>
      <c r="BK32" s="214">
        <v>3744</v>
      </c>
      <c r="BL32" s="56">
        <v>3247</v>
      </c>
      <c r="BM32" s="56">
        <v>3600</v>
      </c>
      <c r="BN32" s="56">
        <v>3254</v>
      </c>
      <c r="BO32" s="56">
        <v>3200</v>
      </c>
      <c r="BP32" s="56">
        <v>3903</v>
      </c>
      <c r="BQ32" s="56">
        <v>4100</v>
      </c>
      <c r="BR32" s="214">
        <v>3692</v>
      </c>
      <c r="BS32" s="211">
        <v>4100</v>
      </c>
      <c r="BT32" s="62">
        <v>17981</v>
      </c>
      <c r="BU32" s="47">
        <v>18188</v>
      </c>
      <c r="BV32" s="172"/>
      <c r="BW32" s="66">
        <v>247</v>
      </c>
      <c r="BX32" s="55">
        <v>500</v>
      </c>
      <c r="BY32" s="55">
        <v>301</v>
      </c>
      <c r="BZ32" s="53">
        <v>250</v>
      </c>
      <c r="CA32" s="53">
        <v>387</v>
      </c>
      <c r="CB32" s="53">
        <v>200</v>
      </c>
      <c r="CC32" s="256">
        <v>422</v>
      </c>
      <c r="CD32" s="71">
        <v>250</v>
      </c>
    </row>
    <row r="33" spans="1:82" x14ac:dyDescent="0.2">
      <c r="A33" s="59" t="s">
        <v>30</v>
      </c>
      <c r="B33" s="62">
        <v>39589</v>
      </c>
      <c r="C33" s="47">
        <v>39647</v>
      </c>
      <c r="D33" s="47">
        <v>38826</v>
      </c>
      <c r="E33" s="47">
        <v>38966</v>
      </c>
      <c r="F33" s="172">
        <v>37857</v>
      </c>
      <c r="G33" s="63">
        <v>7316</v>
      </c>
      <c r="H33" s="48">
        <v>6403</v>
      </c>
      <c r="I33" s="48">
        <v>6330</v>
      </c>
      <c r="J33" s="48">
        <v>5877</v>
      </c>
      <c r="K33" s="48">
        <v>6100</v>
      </c>
      <c r="L33" s="48">
        <v>7894</v>
      </c>
      <c r="M33" s="48">
        <v>8000</v>
      </c>
      <c r="N33" s="48">
        <v>7534</v>
      </c>
      <c r="O33" s="176">
        <v>8410</v>
      </c>
      <c r="P33" s="65">
        <v>5640</v>
      </c>
      <c r="Q33" s="49">
        <v>4680</v>
      </c>
      <c r="R33" s="49">
        <v>4940</v>
      </c>
      <c r="S33" s="49">
        <v>4362</v>
      </c>
      <c r="T33" s="49">
        <v>4380</v>
      </c>
      <c r="U33" s="49">
        <v>4835</v>
      </c>
      <c r="V33" s="49">
        <v>4900</v>
      </c>
      <c r="W33" s="187">
        <v>5317</v>
      </c>
      <c r="X33" s="182">
        <v>5400</v>
      </c>
      <c r="Y33" s="66">
        <v>1978</v>
      </c>
      <c r="Z33" s="55">
        <v>1591</v>
      </c>
      <c r="AA33" s="55">
        <v>1608</v>
      </c>
      <c r="AB33" s="55">
        <v>1444</v>
      </c>
      <c r="AC33" s="55">
        <v>1421</v>
      </c>
      <c r="AD33" s="55">
        <v>1971</v>
      </c>
      <c r="AE33" s="55">
        <v>2020</v>
      </c>
      <c r="AF33" s="194">
        <v>1880</v>
      </c>
      <c r="AG33" s="190">
        <v>2020</v>
      </c>
      <c r="AH33" s="64">
        <v>1866</v>
      </c>
      <c r="AI33" s="54">
        <v>1358</v>
      </c>
      <c r="AJ33" s="54">
        <v>1700</v>
      </c>
      <c r="AK33" s="54">
        <v>1934</v>
      </c>
      <c r="AL33" s="54">
        <v>1350</v>
      </c>
      <c r="AM33" s="54">
        <v>2321</v>
      </c>
      <c r="AN33" s="54">
        <v>1500</v>
      </c>
      <c r="AO33" s="186">
        <v>1715</v>
      </c>
      <c r="AP33" s="181">
        <v>1200</v>
      </c>
      <c r="AQ33" s="67">
        <v>61</v>
      </c>
      <c r="AR33" s="50">
        <v>61</v>
      </c>
      <c r="AS33" s="50">
        <v>41</v>
      </c>
      <c r="AT33" s="50">
        <v>63</v>
      </c>
      <c r="AU33" s="50">
        <v>63</v>
      </c>
      <c r="AV33" s="50">
        <v>45</v>
      </c>
      <c r="AW33" s="50">
        <v>243</v>
      </c>
      <c r="AX33" s="50">
        <v>25</v>
      </c>
      <c r="AY33" s="203">
        <v>34</v>
      </c>
      <c r="AZ33" s="199">
        <v>20</v>
      </c>
      <c r="BA33" s="69" t="s">
        <v>91</v>
      </c>
      <c r="BB33" s="51">
        <v>496</v>
      </c>
      <c r="BC33" s="51">
        <v>413</v>
      </c>
      <c r="BD33" s="51">
        <v>500</v>
      </c>
      <c r="BE33" s="51">
        <v>480</v>
      </c>
      <c r="BF33" s="51">
        <v>350</v>
      </c>
      <c r="BG33" s="51">
        <v>1696</v>
      </c>
      <c r="BH33" s="51">
        <v>180</v>
      </c>
      <c r="BI33" s="207">
        <v>103</v>
      </c>
      <c r="BJ33" s="264">
        <v>150</v>
      </c>
      <c r="BK33" s="214">
        <v>8842</v>
      </c>
      <c r="BL33" s="56">
        <v>7742</v>
      </c>
      <c r="BM33" s="56">
        <v>7956</v>
      </c>
      <c r="BN33" s="56">
        <v>7280</v>
      </c>
      <c r="BO33" s="56">
        <v>7400</v>
      </c>
      <c r="BP33" s="56">
        <v>8435</v>
      </c>
      <c r="BQ33" s="56">
        <v>8800</v>
      </c>
      <c r="BR33" s="214">
        <v>8219</v>
      </c>
      <c r="BS33" s="211">
        <v>8800</v>
      </c>
      <c r="BT33" s="62">
        <v>38765</v>
      </c>
      <c r="BU33" s="47">
        <v>39092</v>
      </c>
      <c r="BV33" s="172"/>
      <c r="BW33" s="66">
        <v>541</v>
      </c>
      <c r="BX33" s="55">
        <v>320</v>
      </c>
      <c r="BY33" s="55">
        <v>727</v>
      </c>
      <c r="BZ33" s="53">
        <v>190</v>
      </c>
      <c r="CA33" s="53">
        <v>997</v>
      </c>
      <c r="CB33" s="53">
        <v>200</v>
      </c>
      <c r="CC33" s="256">
        <v>716</v>
      </c>
      <c r="CD33" s="71">
        <v>600</v>
      </c>
    </row>
    <row r="34" spans="1:82" x14ac:dyDescent="0.2">
      <c r="A34" s="59" t="s">
        <v>31</v>
      </c>
      <c r="B34" s="62">
        <v>21133</v>
      </c>
      <c r="C34" s="47">
        <v>21556</v>
      </c>
      <c r="D34" s="47">
        <v>21244</v>
      </c>
      <c r="E34" s="47">
        <v>21425</v>
      </c>
      <c r="F34" s="172">
        <v>20814</v>
      </c>
      <c r="G34" s="63">
        <v>1941</v>
      </c>
      <c r="H34" s="48">
        <v>1512</v>
      </c>
      <c r="I34" s="48">
        <v>1800</v>
      </c>
      <c r="J34" s="48">
        <v>1360</v>
      </c>
      <c r="K34" s="48">
        <v>1370</v>
      </c>
      <c r="L34" s="48">
        <v>2236</v>
      </c>
      <c r="M34" s="48">
        <v>1300</v>
      </c>
      <c r="N34" s="48">
        <v>1896</v>
      </c>
      <c r="O34" s="176">
        <v>1084</v>
      </c>
      <c r="P34" s="65">
        <v>1150</v>
      </c>
      <c r="Q34" s="49">
        <v>806</v>
      </c>
      <c r="R34" s="49">
        <v>1050</v>
      </c>
      <c r="S34" s="49">
        <v>651</v>
      </c>
      <c r="T34" s="49">
        <v>700</v>
      </c>
      <c r="U34" s="49">
        <v>921</v>
      </c>
      <c r="V34" s="49">
        <v>600</v>
      </c>
      <c r="W34" s="187">
        <v>1016</v>
      </c>
      <c r="X34" s="182">
        <v>921</v>
      </c>
      <c r="Y34" s="66">
        <v>503</v>
      </c>
      <c r="Z34" s="55">
        <v>406</v>
      </c>
      <c r="AA34" s="55">
        <v>430</v>
      </c>
      <c r="AB34" s="55">
        <v>386</v>
      </c>
      <c r="AC34" s="55">
        <v>350</v>
      </c>
      <c r="AD34" s="55">
        <v>616</v>
      </c>
      <c r="AE34" s="55">
        <v>350</v>
      </c>
      <c r="AF34" s="194">
        <v>431</v>
      </c>
      <c r="AG34" s="190">
        <v>550</v>
      </c>
      <c r="AH34" s="64">
        <v>950</v>
      </c>
      <c r="AI34" s="54">
        <v>602</v>
      </c>
      <c r="AJ34" s="54">
        <v>1050</v>
      </c>
      <c r="AK34" s="54">
        <v>639</v>
      </c>
      <c r="AL34" s="54">
        <v>650</v>
      </c>
      <c r="AM34" s="54">
        <v>429</v>
      </c>
      <c r="AN34" s="54">
        <v>750</v>
      </c>
      <c r="AO34" s="186">
        <v>468</v>
      </c>
      <c r="AP34" s="181">
        <v>320</v>
      </c>
      <c r="AQ34" s="67">
        <v>70</v>
      </c>
      <c r="AR34" s="50">
        <v>75</v>
      </c>
      <c r="AS34" s="50">
        <v>53</v>
      </c>
      <c r="AT34" s="50">
        <v>90</v>
      </c>
      <c r="AU34" s="50">
        <v>55</v>
      </c>
      <c r="AV34" s="50">
        <v>60</v>
      </c>
      <c r="AW34" s="50">
        <v>51</v>
      </c>
      <c r="AX34" s="50">
        <v>58</v>
      </c>
      <c r="AY34" s="203">
        <v>42</v>
      </c>
      <c r="AZ34" s="199">
        <v>30</v>
      </c>
      <c r="BA34" s="69">
        <v>626</v>
      </c>
      <c r="BB34" s="51">
        <v>565</v>
      </c>
      <c r="BC34" s="51">
        <v>425</v>
      </c>
      <c r="BD34" s="51">
        <v>750</v>
      </c>
      <c r="BE34" s="51">
        <v>703</v>
      </c>
      <c r="BF34" s="51">
        <v>600</v>
      </c>
      <c r="BG34" s="51">
        <v>1578</v>
      </c>
      <c r="BH34" s="51">
        <v>700</v>
      </c>
      <c r="BI34" s="207">
        <v>57</v>
      </c>
      <c r="BJ34" s="264">
        <v>1000</v>
      </c>
      <c r="BK34" s="214">
        <v>2309</v>
      </c>
      <c r="BL34" s="56">
        <v>1910</v>
      </c>
      <c r="BM34" s="56">
        <v>2000</v>
      </c>
      <c r="BN34" s="56">
        <v>1735</v>
      </c>
      <c r="BO34" s="56">
        <v>1760</v>
      </c>
      <c r="BP34" s="56">
        <v>2518</v>
      </c>
      <c r="BQ34" s="56">
        <v>1700</v>
      </c>
      <c r="BR34" s="214">
        <v>2089</v>
      </c>
      <c r="BS34" s="56">
        <v>1155</v>
      </c>
      <c r="BT34" s="62">
        <v>21212</v>
      </c>
      <c r="BU34" s="47">
        <v>21529</v>
      </c>
      <c r="BV34" s="172"/>
      <c r="BW34" s="66">
        <v>205</v>
      </c>
      <c r="BX34" s="55">
        <v>50</v>
      </c>
      <c r="BY34" s="55">
        <v>150</v>
      </c>
      <c r="BZ34" s="53">
        <v>100</v>
      </c>
      <c r="CA34" s="53">
        <v>196</v>
      </c>
      <c r="CB34" s="53">
        <v>200</v>
      </c>
      <c r="CC34" s="256">
        <v>246</v>
      </c>
      <c r="CD34" s="71">
        <v>100</v>
      </c>
    </row>
    <row r="35" spans="1:82" x14ac:dyDescent="0.2">
      <c r="A35" s="59" t="s">
        <v>32</v>
      </c>
      <c r="B35" s="62">
        <v>61917</v>
      </c>
      <c r="C35" s="47">
        <v>65595</v>
      </c>
      <c r="D35" s="47">
        <v>65387</v>
      </c>
      <c r="E35" s="47">
        <v>66023</v>
      </c>
      <c r="F35" s="172">
        <v>62987</v>
      </c>
      <c r="G35" s="63">
        <v>3552</v>
      </c>
      <c r="H35" s="48">
        <v>2848</v>
      </c>
      <c r="I35" s="48">
        <v>2972</v>
      </c>
      <c r="J35" s="48">
        <v>2693</v>
      </c>
      <c r="K35" s="48">
        <v>2450</v>
      </c>
      <c r="L35" s="48">
        <v>4111</v>
      </c>
      <c r="M35" s="48">
        <v>4680</v>
      </c>
      <c r="N35" s="48">
        <v>3460</v>
      </c>
      <c r="O35" s="176">
        <v>4098</v>
      </c>
      <c r="P35" s="65">
        <v>2004</v>
      </c>
      <c r="Q35" s="49">
        <v>1500</v>
      </c>
      <c r="R35" s="49">
        <v>1684</v>
      </c>
      <c r="S35" s="49">
        <v>1147</v>
      </c>
      <c r="T35" s="49">
        <v>1259</v>
      </c>
      <c r="U35" s="49">
        <v>1526</v>
      </c>
      <c r="V35" s="49">
        <v>1385</v>
      </c>
      <c r="W35" s="187">
        <v>1807</v>
      </c>
      <c r="X35" s="182">
        <v>1495</v>
      </c>
      <c r="Y35" s="66">
        <v>956</v>
      </c>
      <c r="Z35" s="55">
        <v>678</v>
      </c>
      <c r="AA35" s="55">
        <v>706</v>
      </c>
      <c r="AB35" s="55">
        <v>731</v>
      </c>
      <c r="AC35" s="55">
        <v>515</v>
      </c>
      <c r="AD35" s="55">
        <v>1003</v>
      </c>
      <c r="AE35" s="55">
        <v>1325</v>
      </c>
      <c r="AF35" s="194">
        <v>721</v>
      </c>
      <c r="AG35" s="190">
        <v>960</v>
      </c>
      <c r="AH35" s="64">
        <v>2818</v>
      </c>
      <c r="AI35" s="54">
        <v>3251</v>
      </c>
      <c r="AJ35" s="54">
        <v>2000</v>
      </c>
      <c r="AK35" s="54">
        <v>3452</v>
      </c>
      <c r="AL35" s="54">
        <v>4290</v>
      </c>
      <c r="AM35" s="54">
        <v>3859</v>
      </c>
      <c r="AN35" s="54">
        <v>1982</v>
      </c>
      <c r="AO35" s="186">
        <v>4033</v>
      </c>
      <c r="AP35" s="181">
        <v>3961</v>
      </c>
      <c r="AQ35" s="67">
        <v>79</v>
      </c>
      <c r="AR35" s="50">
        <v>79</v>
      </c>
      <c r="AS35" s="50">
        <v>127</v>
      </c>
      <c r="AT35" s="50">
        <v>81</v>
      </c>
      <c r="AU35" s="50">
        <v>50</v>
      </c>
      <c r="AV35" s="50">
        <v>80</v>
      </c>
      <c r="AW35" s="50">
        <v>290</v>
      </c>
      <c r="AX35" s="50">
        <v>30</v>
      </c>
      <c r="AY35" s="203">
        <v>52</v>
      </c>
      <c r="AZ35" s="199">
        <v>40</v>
      </c>
      <c r="BA35" s="69">
        <v>922</v>
      </c>
      <c r="BB35" s="51">
        <v>921</v>
      </c>
      <c r="BC35" s="51">
        <v>1126</v>
      </c>
      <c r="BD35" s="51">
        <v>1100</v>
      </c>
      <c r="BE35" s="51">
        <v>1187</v>
      </c>
      <c r="BF35" s="51">
        <v>1100</v>
      </c>
      <c r="BG35" s="51">
        <v>3508</v>
      </c>
      <c r="BH35" s="51">
        <v>300</v>
      </c>
      <c r="BI35" s="207">
        <v>353</v>
      </c>
      <c r="BJ35" s="264">
        <v>300</v>
      </c>
      <c r="BK35" s="214">
        <v>4458</v>
      </c>
      <c r="BL35" s="56">
        <v>3638</v>
      </c>
      <c r="BM35" s="56">
        <v>3868</v>
      </c>
      <c r="BN35" s="56">
        <v>3338</v>
      </c>
      <c r="BO35" s="56">
        <v>3338</v>
      </c>
      <c r="BP35" s="56">
        <v>4561</v>
      </c>
      <c r="BQ35" s="56">
        <v>5850</v>
      </c>
      <c r="BR35" s="214">
        <v>3868</v>
      </c>
      <c r="BS35" s="211">
        <v>4511</v>
      </c>
      <c r="BT35" s="62">
        <v>65473</v>
      </c>
      <c r="BU35" s="47">
        <v>66009</v>
      </c>
      <c r="BV35" s="172"/>
      <c r="BW35" s="66">
        <v>308</v>
      </c>
      <c r="BX35" s="55">
        <v>96</v>
      </c>
      <c r="BY35" s="55">
        <v>247</v>
      </c>
      <c r="BZ35" s="53">
        <v>108</v>
      </c>
      <c r="CA35" s="53">
        <v>308</v>
      </c>
      <c r="CB35" s="53">
        <v>560</v>
      </c>
      <c r="CC35" s="256">
        <v>322</v>
      </c>
      <c r="CD35" s="71">
        <v>670</v>
      </c>
    </row>
    <row r="36" spans="1:82" x14ac:dyDescent="0.2">
      <c r="A36" s="59" t="s">
        <v>33</v>
      </c>
      <c r="B36" s="62">
        <v>57309</v>
      </c>
      <c r="C36" s="47">
        <v>56788</v>
      </c>
      <c r="D36" s="47">
        <v>57225</v>
      </c>
      <c r="E36" s="47">
        <v>56579</v>
      </c>
      <c r="F36" s="172">
        <v>55308</v>
      </c>
      <c r="G36" s="63">
        <v>6969</v>
      </c>
      <c r="H36" s="48">
        <v>6278</v>
      </c>
      <c r="I36" s="48">
        <v>5469</v>
      </c>
      <c r="J36" s="48">
        <v>5887</v>
      </c>
      <c r="K36" s="48">
        <v>5500</v>
      </c>
      <c r="L36" s="48">
        <v>7668</v>
      </c>
      <c r="M36" s="48">
        <v>7430</v>
      </c>
      <c r="N36" s="48">
        <v>6997</v>
      </c>
      <c r="O36" s="176">
        <v>7750</v>
      </c>
      <c r="P36" s="65">
        <v>4067</v>
      </c>
      <c r="Q36" s="49">
        <v>3139</v>
      </c>
      <c r="R36" s="49">
        <v>3150</v>
      </c>
      <c r="S36" s="49">
        <v>2703</v>
      </c>
      <c r="T36" s="49">
        <v>2500</v>
      </c>
      <c r="U36" s="49">
        <v>3680</v>
      </c>
      <c r="V36" s="49">
        <v>2901</v>
      </c>
      <c r="W36" s="187">
        <v>3980</v>
      </c>
      <c r="X36" s="182">
        <v>3750</v>
      </c>
      <c r="Y36" s="66">
        <v>2262</v>
      </c>
      <c r="Z36" s="55">
        <v>2087</v>
      </c>
      <c r="AA36" s="55">
        <v>1712</v>
      </c>
      <c r="AB36" s="55">
        <v>1938</v>
      </c>
      <c r="AC36" s="55">
        <v>1500</v>
      </c>
      <c r="AD36" s="55">
        <v>2441</v>
      </c>
      <c r="AE36" s="55">
        <v>2157</v>
      </c>
      <c r="AF36" s="194">
        <v>2057</v>
      </c>
      <c r="AG36" s="190">
        <v>2370</v>
      </c>
      <c r="AH36" s="64">
        <v>5937</v>
      </c>
      <c r="AI36" s="54">
        <v>4448</v>
      </c>
      <c r="AJ36" s="54">
        <v>358</v>
      </c>
      <c r="AK36" s="54">
        <v>6977</v>
      </c>
      <c r="AL36" s="54">
        <v>4300</v>
      </c>
      <c r="AM36" s="54">
        <v>3968</v>
      </c>
      <c r="AN36" s="54">
        <v>5021</v>
      </c>
      <c r="AO36" s="186">
        <v>3916</v>
      </c>
      <c r="AP36" s="181">
        <v>4850</v>
      </c>
      <c r="AQ36" s="67">
        <v>57</v>
      </c>
      <c r="AR36" s="50">
        <v>57</v>
      </c>
      <c r="AS36" s="50">
        <v>59</v>
      </c>
      <c r="AT36" s="50">
        <v>97</v>
      </c>
      <c r="AU36" s="50">
        <v>79</v>
      </c>
      <c r="AV36" s="50">
        <v>80</v>
      </c>
      <c r="AW36" s="50">
        <v>363</v>
      </c>
      <c r="AX36" s="50">
        <v>41</v>
      </c>
      <c r="AY36" s="203">
        <v>61</v>
      </c>
      <c r="AZ36" s="199">
        <v>45</v>
      </c>
      <c r="BA36" s="69">
        <v>26</v>
      </c>
      <c r="BB36" s="51">
        <v>293</v>
      </c>
      <c r="BC36" s="51">
        <v>235</v>
      </c>
      <c r="BD36" s="51">
        <v>60</v>
      </c>
      <c r="BE36" s="51">
        <v>477</v>
      </c>
      <c r="BF36" s="51">
        <v>280</v>
      </c>
      <c r="BG36" s="51">
        <v>1901</v>
      </c>
      <c r="BH36" s="51">
        <v>430</v>
      </c>
      <c r="BI36" s="207">
        <v>191</v>
      </c>
      <c r="BJ36" s="264">
        <v>379</v>
      </c>
      <c r="BK36" s="214">
        <v>7821</v>
      </c>
      <c r="BL36" s="56">
        <v>6941</v>
      </c>
      <c r="BM36" s="56">
        <v>6321</v>
      </c>
      <c r="BN36" s="56">
        <v>6655</v>
      </c>
      <c r="BO36" s="56">
        <v>6091</v>
      </c>
      <c r="BP36" s="56">
        <v>8206</v>
      </c>
      <c r="BQ36" s="56">
        <v>7900</v>
      </c>
      <c r="BR36" s="214">
        <v>7428</v>
      </c>
      <c r="BS36" s="211">
        <v>8300</v>
      </c>
      <c r="BT36" s="62">
        <v>57240</v>
      </c>
      <c r="BU36" s="47">
        <v>56492</v>
      </c>
      <c r="BV36" s="172"/>
      <c r="BW36" s="66">
        <v>514</v>
      </c>
      <c r="BX36" s="55">
        <v>320</v>
      </c>
      <c r="BY36" s="55">
        <v>622</v>
      </c>
      <c r="BZ36" s="53">
        <v>430</v>
      </c>
      <c r="CA36" s="53">
        <v>771</v>
      </c>
      <c r="CB36" s="53">
        <v>580</v>
      </c>
      <c r="CC36" s="256">
        <v>814</v>
      </c>
      <c r="CD36" s="71">
        <v>705</v>
      </c>
    </row>
    <row r="37" spans="1:82" x14ac:dyDescent="0.2">
      <c r="A37" s="60" t="s">
        <v>34</v>
      </c>
      <c r="B37" s="62">
        <v>51307</v>
      </c>
      <c r="C37" s="47">
        <v>50235</v>
      </c>
      <c r="D37" s="47">
        <v>50790</v>
      </c>
      <c r="E37" s="47">
        <v>50148</v>
      </c>
      <c r="F37" s="172">
        <v>48693</v>
      </c>
      <c r="G37" s="63">
        <v>4454</v>
      </c>
      <c r="H37" s="48">
        <v>3569</v>
      </c>
      <c r="I37" s="48">
        <v>3154</v>
      </c>
      <c r="J37" s="48">
        <v>3262</v>
      </c>
      <c r="K37" s="48">
        <v>3250</v>
      </c>
      <c r="L37" s="48">
        <v>4686</v>
      </c>
      <c r="M37" s="48">
        <v>5700</v>
      </c>
      <c r="N37" s="48">
        <v>4092</v>
      </c>
      <c r="O37" s="176">
        <v>5180</v>
      </c>
      <c r="P37" s="65">
        <v>2504</v>
      </c>
      <c r="Q37" s="49">
        <v>1878</v>
      </c>
      <c r="R37" s="49">
        <v>1204</v>
      </c>
      <c r="S37" s="49">
        <v>1640</v>
      </c>
      <c r="T37" s="49">
        <v>1478</v>
      </c>
      <c r="U37" s="49">
        <v>2055</v>
      </c>
      <c r="V37" s="49">
        <v>2230</v>
      </c>
      <c r="W37" s="187">
        <v>2280</v>
      </c>
      <c r="X37" s="182">
        <v>2474</v>
      </c>
      <c r="Y37" s="66">
        <v>1162</v>
      </c>
      <c r="Z37" s="55">
        <v>1057</v>
      </c>
      <c r="AA37" s="55">
        <v>662</v>
      </c>
      <c r="AB37" s="55">
        <v>1021</v>
      </c>
      <c r="AC37" s="55">
        <v>900</v>
      </c>
      <c r="AD37" s="55">
        <v>1222</v>
      </c>
      <c r="AE37" s="55">
        <v>1700</v>
      </c>
      <c r="AF37" s="194">
        <v>1040</v>
      </c>
      <c r="AG37" s="190">
        <v>1162</v>
      </c>
      <c r="AH37" s="64">
        <v>2677</v>
      </c>
      <c r="AI37" s="54">
        <v>2688</v>
      </c>
      <c r="AJ37" s="54">
        <v>2700</v>
      </c>
      <c r="AK37" s="54">
        <v>2676</v>
      </c>
      <c r="AL37" s="54">
        <v>2700</v>
      </c>
      <c r="AM37" s="54">
        <v>2231</v>
      </c>
      <c r="AN37" s="54">
        <v>2100</v>
      </c>
      <c r="AO37" s="186">
        <v>1909</v>
      </c>
      <c r="AP37" s="181">
        <v>1670</v>
      </c>
      <c r="AQ37" s="67">
        <v>117</v>
      </c>
      <c r="AR37" s="50">
        <v>117</v>
      </c>
      <c r="AS37" s="50">
        <v>119</v>
      </c>
      <c r="AT37" s="50">
        <v>120</v>
      </c>
      <c r="AU37" s="50">
        <v>121</v>
      </c>
      <c r="AV37" s="50">
        <v>120</v>
      </c>
      <c r="AW37" s="50">
        <v>417</v>
      </c>
      <c r="AX37" s="50">
        <v>60</v>
      </c>
      <c r="AY37" s="203">
        <v>47</v>
      </c>
      <c r="AZ37" s="199">
        <v>42</v>
      </c>
      <c r="BA37" s="69">
        <v>1094</v>
      </c>
      <c r="BB37" s="51">
        <v>1094</v>
      </c>
      <c r="BC37" s="51">
        <v>1105</v>
      </c>
      <c r="BD37" s="51">
        <v>1100</v>
      </c>
      <c r="BE37" s="51">
        <v>1448</v>
      </c>
      <c r="BF37" s="51">
        <v>1130</v>
      </c>
      <c r="BG37" s="51">
        <v>5677</v>
      </c>
      <c r="BH37" s="51">
        <v>950</v>
      </c>
      <c r="BI37" s="207">
        <v>513</v>
      </c>
      <c r="BJ37" s="264">
        <v>700</v>
      </c>
      <c r="BK37" s="214">
        <v>5108</v>
      </c>
      <c r="BL37" s="56">
        <v>4411</v>
      </c>
      <c r="BM37" s="56">
        <v>3618</v>
      </c>
      <c r="BN37" s="56">
        <v>4143</v>
      </c>
      <c r="BO37" s="56">
        <v>3999</v>
      </c>
      <c r="BP37" s="56">
        <v>5156</v>
      </c>
      <c r="BQ37" s="56">
        <v>6300</v>
      </c>
      <c r="BR37" s="214">
        <v>4516</v>
      </c>
      <c r="BS37" s="211">
        <v>5556</v>
      </c>
      <c r="BT37" s="62">
        <v>50763</v>
      </c>
      <c r="BU37" s="47">
        <v>50088</v>
      </c>
      <c r="BV37" s="172"/>
      <c r="BW37" s="66">
        <v>321</v>
      </c>
      <c r="BX37" s="55">
        <v>100</v>
      </c>
      <c r="BY37" s="55">
        <v>318</v>
      </c>
      <c r="BZ37" s="53">
        <v>150</v>
      </c>
      <c r="CA37" s="53">
        <v>435</v>
      </c>
      <c r="CB37" s="53">
        <v>200</v>
      </c>
      <c r="CC37" s="256">
        <v>425</v>
      </c>
      <c r="CD37" s="71">
        <v>380</v>
      </c>
    </row>
    <row r="38" spans="1:82" x14ac:dyDescent="0.2">
      <c r="A38" s="59" t="s">
        <v>35</v>
      </c>
      <c r="B38" s="62">
        <v>69057</v>
      </c>
      <c r="C38" s="47">
        <v>69434</v>
      </c>
      <c r="D38" s="47">
        <v>70388</v>
      </c>
      <c r="E38" s="47">
        <v>69496</v>
      </c>
      <c r="F38" s="172">
        <v>67288</v>
      </c>
      <c r="G38" s="63">
        <v>4680</v>
      </c>
      <c r="H38" s="48">
        <v>4003</v>
      </c>
      <c r="I38" s="48">
        <v>3700</v>
      </c>
      <c r="J38" s="48">
        <v>3847</v>
      </c>
      <c r="K38" s="48">
        <v>3490</v>
      </c>
      <c r="L38" s="48">
        <v>5406</v>
      </c>
      <c r="M38" s="48">
        <v>6000</v>
      </c>
      <c r="N38" s="48">
        <v>4829</v>
      </c>
      <c r="O38" s="176">
        <v>5620</v>
      </c>
      <c r="P38" s="65">
        <v>2719</v>
      </c>
      <c r="Q38" s="49">
        <v>2138</v>
      </c>
      <c r="R38" s="49">
        <v>2250</v>
      </c>
      <c r="S38" s="49">
        <v>1811</v>
      </c>
      <c r="T38" s="49">
        <v>1710</v>
      </c>
      <c r="U38" s="49">
        <v>2313</v>
      </c>
      <c r="V38" s="49">
        <v>2450</v>
      </c>
      <c r="W38" s="187">
        <v>2646</v>
      </c>
      <c r="X38" s="182">
        <v>2560</v>
      </c>
      <c r="Y38" s="66">
        <v>1636</v>
      </c>
      <c r="Z38" s="55">
        <v>1390</v>
      </c>
      <c r="AA38" s="55">
        <v>1300</v>
      </c>
      <c r="AB38" s="55">
        <v>1288</v>
      </c>
      <c r="AC38" s="55">
        <v>1160</v>
      </c>
      <c r="AD38" s="55">
        <v>1734</v>
      </c>
      <c r="AE38" s="55">
        <v>2100</v>
      </c>
      <c r="AF38" s="194">
        <v>1372</v>
      </c>
      <c r="AG38" s="190">
        <v>1770</v>
      </c>
      <c r="AH38" s="64">
        <v>4597</v>
      </c>
      <c r="AI38" s="54">
        <v>6135</v>
      </c>
      <c r="AJ38" s="54">
        <v>4200</v>
      </c>
      <c r="AK38" s="54">
        <v>5200</v>
      </c>
      <c r="AL38" s="54">
        <v>5700</v>
      </c>
      <c r="AM38" s="54">
        <v>3705</v>
      </c>
      <c r="AN38" s="54">
        <v>4000</v>
      </c>
      <c r="AO38" s="186">
        <v>3706</v>
      </c>
      <c r="AP38" s="181">
        <v>3200</v>
      </c>
      <c r="AQ38" s="67">
        <v>185</v>
      </c>
      <c r="AR38" s="50">
        <v>180</v>
      </c>
      <c r="AS38" s="50">
        <v>188</v>
      </c>
      <c r="AT38" s="50">
        <v>190</v>
      </c>
      <c r="AU38" s="50">
        <v>180</v>
      </c>
      <c r="AV38" s="50">
        <v>200</v>
      </c>
      <c r="AW38" s="50">
        <v>455</v>
      </c>
      <c r="AX38" s="50">
        <v>75</v>
      </c>
      <c r="AY38" s="203">
        <v>57</v>
      </c>
      <c r="AZ38" s="199">
        <v>50</v>
      </c>
      <c r="BA38" s="69">
        <v>1251</v>
      </c>
      <c r="BB38" s="51">
        <v>1170</v>
      </c>
      <c r="BC38" s="51">
        <v>997</v>
      </c>
      <c r="BD38" s="51">
        <v>1000</v>
      </c>
      <c r="BE38" s="51">
        <v>925</v>
      </c>
      <c r="BF38" s="51">
        <v>1100</v>
      </c>
      <c r="BG38" s="51">
        <v>2634</v>
      </c>
      <c r="BH38" s="51">
        <v>400</v>
      </c>
      <c r="BI38" s="207">
        <v>143</v>
      </c>
      <c r="BJ38" s="264">
        <v>140</v>
      </c>
      <c r="BK38" s="214">
        <v>5990</v>
      </c>
      <c r="BL38" s="56">
        <v>5143</v>
      </c>
      <c r="BM38" s="56">
        <v>4800</v>
      </c>
      <c r="BN38" s="56">
        <v>4880</v>
      </c>
      <c r="BO38" s="56">
        <v>4550</v>
      </c>
      <c r="BP38" s="56">
        <v>6195</v>
      </c>
      <c r="BQ38" s="56">
        <v>6900</v>
      </c>
      <c r="BR38" s="214">
        <v>5546</v>
      </c>
      <c r="BS38" s="211">
        <v>6340</v>
      </c>
      <c r="BT38" s="62">
        <v>70373</v>
      </c>
      <c r="BU38" s="47">
        <v>69310</v>
      </c>
      <c r="BV38" s="172"/>
      <c r="BW38" s="66">
        <v>292</v>
      </c>
      <c r="BX38" s="55">
        <v>170</v>
      </c>
      <c r="BY38" s="55">
        <v>362</v>
      </c>
      <c r="BZ38" s="53">
        <v>320</v>
      </c>
      <c r="CA38" s="53">
        <v>461</v>
      </c>
      <c r="CB38" s="53">
        <v>250</v>
      </c>
      <c r="CC38" s="256">
        <v>509</v>
      </c>
      <c r="CD38" s="71">
        <v>220</v>
      </c>
    </row>
    <row r="39" spans="1:82" x14ac:dyDescent="0.2">
      <c r="A39" s="59" t="s">
        <v>36</v>
      </c>
      <c r="B39" s="62">
        <v>111121</v>
      </c>
      <c r="C39" s="47">
        <v>110812</v>
      </c>
      <c r="D39" s="47">
        <v>112175</v>
      </c>
      <c r="E39" s="47">
        <v>110701</v>
      </c>
      <c r="F39" s="172">
        <v>108221</v>
      </c>
      <c r="G39" s="63">
        <v>8973</v>
      </c>
      <c r="H39" s="48">
        <v>7869</v>
      </c>
      <c r="I39" s="48">
        <v>6873</v>
      </c>
      <c r="J39" s="48">
        <v>7475</v>
      </c>
      <c r="K39" s="48">
        <v>7219</v>
      </c>
      <c r="L39" s="48">
        <v>11574</v>
      </c>
      <c r="M39" s="48">
        <v>9400</v>
      </c>
      <c r="N39" s="48">
        <v>10805</v>
      </c>
      <c r="O39" s="176">
        <v>11500</v>
      </c>
      <c r="P39" s="65">
        <v>6243</v>
      </c>
      <c r="Q39" s="49">
        <v>4886</v>
      </c>
      <c r="R39" s="49">
        <v>5143</v>
      </c>
      <c r="S39" s="49">
        <v>4194</v>
      </c>
      <c r="T39" s="49">
        <v>4386</v>
      </c>
      <c r="U39" s="49">
        <v>5582</v>
      </c>
      <c r="V39" s="49">
        <v>4300</v>
      </c>
      <c r="W39" s="187">
        <v>6782</v>
      </c>
      <c r="X39" s="182">
        <v>6400</v>
      </c>
      <c r="Y39" s="66">
        <v>2924</v>
      </c>
      <c r="Z39" s="55">
        <v>2516</v>
      </c>
      <c r="AA39" s="55">
        <v>2024</v>
      </c>
      <c r="AB39" s="55">
        <v>2449</v>
      </c>
      <c r="AC39" s="55">
        <v>2216</v>
      </c>
      <c r="AD39" s="55">
        <v>3391</v>
      </c>
      <c r="AE39" s="55">
        <v>3000</v>
      </c>
      <c r="AF39" s="194">
        <v>2964</v>
      </c>
      <c r="AG39" s="190">
        <v>3450</v>
      </c>
      <c r="AH39" s="64">
        <v>7060</v>
      </c>
      <c r="AI39" s="54">
        <v>6708</v>
      </c>
      <c r="AJ39" s="54">
        <v>1980</v>
      </c>
      <c r="AK39" s="54">
        <v>6605</v>
      </c>
      <c r="AL39" s="54">
        <v>9000</v>
      </c>
      <c r="AM39" s="54">
        <v>4679</v>
      </c>
      <c r="AN39" s="54">
        <v>980</v>
      </c>
      <c r="AO39" s="186">
        <v>4247</v>
      </c>
      <c r="AP39" s="181">
        <v>1500</v>
      </c>
      <c r="AQ39" s="67">
        <v>381</v>
      </c>
      <c r="AR39" s="50">
        <v>384</v>
      </c>
      <c r="AS39" s="50">
        <v>475</v>
      </c>
      <c r="AT39" s="50">
        <v>400</v>
      </c>
      <c r="AU39" s="50">
        <v>474</v>
      </c>
      <c r="AV39" s="50">
        <v>480</v>
      </c>
      <c r="AW39" s="50">
        <v>1557</v>
      </c>
      <c r="AX39" s="50">
        <v>200</v>
      </c>
      <c r="AY39" s="203">
        <v>144</v>
      </c>
      <c r="AZ39" s="199">
        <v>215</v>
      </c>
      <c r="BA39" s="69">
        <v>2311</v>
      </c>
      <c r="BB39" s="51">
        <v>2544</v>
      </c>
      <c r="BC39" s="51">
        <v>2450</v>
      </c>
      <c r="BD39" s="51">
        <v>2400</v>
      </c>
      <c r="BE39" s="51">
        <v>2455</v>
      </c>
      <c r="BF39" s="51">
        <v>2450</v>
      </c>
      <c r="BG39" s="51">
        <v>6980</v>
      </c>
      <c r="BH39" s="51">
        <v>1300</v>
      </c>
      <c r="BI39" s="207">
        <v>596</v>
      </c>
      <c r="BJ39" s="264">
        <v>1680</v>
      </c>
      <c r="BK39" s="214">
        <v>10994</v>
      </c>
      <c r="BL39" s="56">
        <v>9740</v>
      </c>
      <c r="BM39" s="56">
        <v>9194</v>
      </c>
      <c r="BN39" s="56">
        <v>9327</v>
      </c>
      <c r="BO39" s="56">
        <v>8990</v>
      </c>
      <c r="BP39" s="56">
        <v>12519</v>
      </c>
      <c r="BQ39" s="56">
        <v>10500</v>
      </c>
      <c r="BR39" s="214">
        <v>11631</v>
      </c>
      <c r="BS39" s="211">
        <v>13260</v>
      </c>
      <c r="BT39" s="62">
        <v>112134</v>
      </c>
      <c r="BU39" s="47">
        <v>110666</v>
      </c>
      <c r="BV39" s="172"/>
      <c r="BW39" s="66">
        <v>531</v>
      </c>
      <c r="BX39" s="55">
        <v>400</v>
      </c>
      <c r="BY39" s="55">
        <v>668</v>
      </c>
      <c r="BZ39" s="53">
        <v>400</v>
      </c>
      <c r="CA39" s="53">
        <v>925</v>
      </c>
      <c r="CB39" s="53">
        <v>300</v>
      </c>
      <c r="CC39" s="256">
        <v>894</v>
      </c>
      <c r="CD39" s="71">
        <v>300</v>
      </c>
    </row>
    <row r="40" spans="1:82" x14ac:dyDescent="0.2">
      <c r="A40" s="59" t="s">
        <v>37</v>
      </c>
      <c r="B40" s="62">
        <v>24556</v>
      </c>
      <c r="C40" s="47">
        <v>24870</v>
      </c>
      <c r="D40" s="47">
        <v>25308</v>
      </c>
      <c r="E40" s="47">
        <v>25036</v>
      </c>
      <c r="F40" s="172">
        <v>24388</v>
      </c>
      <c r="G40" s="63">
        <v>1684</v>
      </c>
      <c r="H40" s="48">
        <v>1449</v>
      </c>
      <c r="I40" s="48">
        <v>1338</v>
      </c>
      <c r="J40" s="48">
        <v>1536</v>
      </c>
      <c r="K40" s="48">
        <v>1198</v>
      </c>
      <c r="L40" s="48">
        <v>2285</v>
      </c>
      <c r="M40" s="48">
        <v>2296</v>
      </c>
      <c r="N40" s="48">
        <v>1939</v>
      </c>
      <c r="O40" s="176">
        <v>2750</v>
      </c>
      <c r="P40" s="65">
        <v>878</v>
      </c>
      <c r="Q40" s="49">
        <v>725</v>
      </c>
      <c r="R40" s="49">
        <v>655</v>
      </c>
      <c r="S40" s="49">
        <v>743</v>
      </c>
      <c r="T40" s="49">
        <v>540</v>
      </c>
      <c r="U40" s="49">
        <v>1034</v>
      </c>
      <c r="V40" s="49">
        <v>848</v>
      </c>
      <c r="W40" s="187">
        <v>988</v>
      </c>
      <c r="X40" s="182">
        <v>1160</v>
      </c>
      <c r="Y40" s="66">
        <v>712</v>
      </c>
      <c r="Z40" s="55">
        <v>635</v>
      </c>
      <c r="AA40" s="55">
        <v>543</v>
      </c>
      <c r="AB40" s="55">
        <v>670</v>
      </c>
      <c r="AC40" s="55">
        <v>484</v>
      </c>
      <c r="AD40" s="55">
        <v>885</v>
      </c>
      <c r="AE40" s="55">
        <v>965</v>
      </c>
      <c r="AF40" s="194">
        <v>663</v>
      </c>
      <c r="AG40" s="190">
        <v>1015</v>
      </c>
      <c r="AH40" s="64">
        <v>1772</v>
      </c>
      <c r="AI40" s="54">
        <v>1629</v>
      </c>
      <c r="AJ40" s="54">
        <v>1800</v>
      </c>
      <c r="AK40" s="54">
        <v>1812</v>
      </c>
      <c r="AL40" s="54">
        <v>1800</v>
      </c>
      <c r="AM40" s="54">
        <v>1435</v>
      </c>
      <c r="AN40" s="54">
        <v>1400</v>
      </c>
      <c r="AO40" s="186">
        <v>1306</v>
      </c>
      <c r="AP40" s="181">
        <v>1600</v>
      </c>
      <c r="AQ40" s="67">
        <v>55</v>
      </c>
      <c r="AR40" s="50">
        <v>50</v>
      </c>
      <c r="AS40" s="50">
        <v>49</v>
      </c>
      <c r="AT40" s="50">
        <v>58</v>
      </c>
      <c r="AU40" s="50">
        <v>68</v>
      </c>
      <c r="AV40" s="50">
        <v>60</v>
      </c>
      <c r="AW40" s="50">
        <v>182</v>
      </c>
      <c r="AX40" s="50">
        <v>30</v>
      </c>
      <c r="AY40" s="203">
        <v>31</v>
      </c>
      <c r="AZ40" s="199">
        <v>35</v>
      </c>
      <c r="BA40" s="69">
        <v>760</v>
      </c>
      <c r="BB40" s="51">
        <v>739</v>
      </c>
      <c r="BC40" s="51">
        <v>730</v>
      </c>
      <c r="BD40" s="51">
        <v>780</v>
      </c>
      <c r="BE40" s="51">
        <v>812</v>
      </c>
      <c r="BF40" s="51">
        <v>780</v>
      </c>
      <c r="BG40" s="51">
        <v>2707</v>
      </c>
      <c r="BH40" s="51">
        <v>600</v>
      </c>
      <c r="BI40" s="207">
        <v>215</v>
      </c>
      <c r="BJ40" s="264">
        <v>350</v>
      </c>
      <c r="BK40" s="214">
        <v>2211</v>
      </c>
      <c r="BL40" s="56">
        <v>2045</v>
      </c>
      <c r="BM40" s="56">
        <v>1872</v>
      </c>
      <c r="BN40" s="56">
        <v>2021</v>
      </c>
      <c r="BO40" s="56">
        <v>1686</v>
      </c>
      <c r="BP40" s="56">
        <v>2606</v>
      </c>
      <c r="BQ40" s="56">
        <v>2600</v>
      </c>
      <c r="BR40" s="214">
        <v>2235</v>
      </c>
      <c r="BS40" s="211">
        <v>2900</v>
      </c>
      <c r="BT40" s="62">
        <v>25325</v>
      </c>
      <c r="BU40" s="47">
        <v>25006</v>
      </c>
      <c r="BV40" s="172"/>
      <c r="BW40" s="66">
        <v>58</v>
      </c>
      <c r="BX40" s="55">
        <v>70</v>
      </c>
      <c r="BY40" s="55">
        <v>112</v>
      </c>
      <c r="BZ40" s="53">
        <v>70</v>
      </c>
      <c r="CA40" s="53">
        <v>169</v>
      </c>
      <c r="CB40" s="53">
        <v>50</v>
      </c>
      <c r="CC40" s="256">
        <v>253</v>
      </c>
      <c r="CD40" s="71">
        <v>80</v>
      </c>
    </row>
    <row r="41" spans="1:82" x14ac:dyDescent="0.2">
      <c r="A41" s="59" t="s">
        <v>38</v>
      </c>
      <c r="B41" s="62">
        <v>16443</v>
      </c>
      <c r="C41" s="47">
        <v>16271</v>
      </c>
      <c r="D41" s="47">
        <v>16426</v>
      </c>
      <c r="E41" s="47">
        <v>16211</v>
      </c>
      <c r="F41" s="172">
        <v>15943</v>
      </c>
      <c r="G41" s="63">
        <v>1714</v>
      </c>
      <c r="H41" s="48">
        <v>1615</v>
      </c>
      <c r="I41" s="48">
        <v>1500</v>
      </c>
      <c r="J41" s="48">
        <v>1523</v>
      </c>
      <c r="K41" s="48">
        <v>1415</v>
      </c>
      <c r="L41" s="48">
        <v>2039</v>
      </c>
      <c r="M41" s="48">
        <v>2050</v>
      </c>
      <c r="N41" s="48">
        <v>1838</v>
      </c>
      <c r="O41" s="176">
        <v>2210</v>
      </c>
      <c r="P41" s="65">
        <v>1242</v>
      </c>
      <c r="Q41" s="49">
        <v>1005</v>
      </c>
      <c r="R41" s="49">
        <v>142</v>
      </c>
      <c r="S41" s="49">
        <v>939</v>
      </c>
      <c r="T41" s="49">
        <v>880</v>
      </c>
      <c r="U41" s="49">
        <v>1204</v>
      </c>
      <c r="V41" s="49">
        <v>1050</v>
      </c>
      <c r="W41" s="187">
        <v>1288</v>
      </c>
      <c r="X41" s="182">
        <v>1367</v>
      </c>
      <c r="Y41" s="66">
        <v>575</v>
      </c>
      <c r="Z41" s="55">
        <v>524</v>
      </c>
      <c r="AA41" s="55">
        <v>105</v>
      </c>
      <c r="AB41" s="55">
        <v>508</v>
      </c>
      <c r="AC41" s="55">
        <v>460</v>
      </c>
      <c r="AD41" s="55">
        <v>663</v>
      </c>
      <c r="AE41" s="55">
        <v>750</v>
      </c>
      <c r="AF41" s="194">
        <v>535</v>
      </c>
      <c r="AG41" s="190">
        <v>701</v>
      </c>
      <c r="AH41" s="64">
        <v>620</v>
      </c>
      <c r="AI41" s="54">
        <v>497</v>
      </c>
      <c r="AJ41" s="54">
        <v>620</v>
      </c>
      <c r="AK41" s="54">
        <v>697</v>
      </c>
      <c r="AL41" s="54">
        <v>550</v>
      </c>
      <c r="AM41" s="54">
        <v>496</v>
      </c>
      <c r="AN41" s="54">
        <v>450</v>
      </c>
      <c r="AO41" s="186">
        <v>450</v>
      </c>
      <c r="AP41" s="181">
        <v>500</v>
      </c>
      <c r="AQ41" s="67">
        <v>22</v>
      </c>
      <c r="AR41" s="50">
        <v>22</v>
      </c>
      <c r="AS41" s="50">
        <v>24</v>
      </c>
      <c r="AT41" s="50">
        <v>25</v>
      </c>
      <c r="AU41" s="50">
        <v>15</v>
      </c>
      <c r="AV41" s="50">
        <v>25</v>
      </c>
      <c r="AW41" s="50">
        <v>18</v>
      </c>
      <c r="AX41" s="50">
        <v>5</v>
      </c>
      <c r="AY41" s="203">
        <v>4</v>
      </c>
      <c r="AZ41" s="199">
        <v>8</v>
      </c>
      <c r="BA41" s="69">
        <v>326</v>
      </c>
      <c r="BB41" s="51">
        <v>326</v>
      </c>
      <c r="BC41" s="51">
        <v>298</v>
      </c>
      <c r="BD41" s="51">
        <v>350</v>
      </c>
      <c r="BE41" s="51">
        <v>304</v>
      </c>
      <c r="BF41" s="51">
        <v>300</v>
      </c>
      <c r="BG41" s="51">
        <v>840</v>
      </c>
      <c r="BH41" s="51">
        <v>140</v>
      </c>
      <c r="BI41" s="207">
        <v>134</v>
      </c>
      <c r="BJ41" s="264">
        <v>175</v>
      </c>
      <c r="BK41" s="214">
        <v>2219</v>
      </c>
      <c r="BL41" s="56">
        <v>2049</v>
      </c>
      <c r="BM41" s="56">
        <v>2000</v>
      </c>
      <c r="BN41" s="56">
        <v>1992</v>
      </c>
      <c r="BO41" s="56">
        <v>1950</v>
      </c>
      <c r="BP41" s="56">
        <v>2425</v>
      </c>
      <c r="BQ41" s="56">
        <v>2400</v>
      </c>
      <c r="BR41" s="214">
        <v>2171</v>
      </c>
      <c r="BS41" s="211">
        <v>2500</v>
      </c>
      <c r="BT41" s="62">
        <v>16393</v>
      </c>
      <c r="BU41" s="47">
        <v>16232</v>
      </c>
      <c r="BV41" s="172"/>
      <c r="BW41" s="66">
        <v>233</v>
      </c>
      <c r="BX41" s="55">
        <v>50</v>
      </c>
      <c r="BY41" s="55">
        <v>176</v>
      </c>
      <c r="BZ41" s="53">
        <v>200</v>
      </c>
      <c r="CA41" s="53">
        <v>237</v>
      </c>
      <c r="CB41" s="53" t="s">
        <v>91</v>
      </c>
      <c r="CC41" s="256">
        <v>273</v>
      </c>
      <c r="CD41" s="71">
        <v>200</v>
      </c>
    </row>
    <row r="42" spans="1:82" x14ac:dyDescent="0.2">
      <c r="A42" s="59" t="s">
        <v>39</v>
      </c>
      <c r="B42" s="62">
        <v>38950</v>
      </c>
      <c r="C42" s="47">
        <v>38339</v>
      </c>
      <c r="D42" s="47">
        <v>38885</v>
      </c>
      <c r="E42" s="47">
        <v>38360</v>
      </c>
      <c r="F42" s="172">
        <v>37544</v>
      </c>
      <c r="G42" s="63">
        <v>5302</v>
      </c>
      <c r="H42" s="48">
        <v>4680</v>
      </c>
      <c r="I42" s="48">
        <v>5103</v>
      </c>
      <c r="J42" s="48">
        <v>4716</v>
      </c>
      <c r="K42" s="48">
        <v>4370</v>
      </c>
      <c r="L42" s="48">
        <v>5967</v>
      </c>
      <c r="M42" s="48">
        <v>6803</v>
      </c>
      <c r="N42" s="48">
        <v>5838</v>
      </c>
      <c r="O42" s="176">
        <v>6023</v>
      </c>
      <c r="P42" s="65">
        <v>3353</v>
      </c>
      <c r="Q42" s="49">
        <v>2843</v>
      </c>
      <c r="R42" s="49">
        <v>2950</v>
      </c>
      <c r="S42" s="49">
        <v>2801</v>
      </c>
      <c r="T42" s="49">
        <v>2600</v>
      </c>
      <c r="U42" s="49">
        <v>3252</v>
      </c>
      <c r="V42" s="49">
        <v>3800</v>
      </c>
      <c r="W42" s="187">
        <v>3593</v>
      </c>
      <c r="X42" s="182">
        <v>3320</v>
      </c>
      <c r="Y42" s="66">
        <v>1819</v>
      </c>
      <c r="Z42" s="55">
        <v>1601</v>
      </c>
      <c r="AA42" s="55">
        <v>1520</v>
      </c>
      <c r="AB42" s="55">
        <v>1560</v>
      </c>
      <c r="AC42" s="55">
        <v>1400</v>
      </c>
      <c r="AD42" s="55">
        <v>1783</v>
      </c>
      <c r="AE42" s="55">
        <v>1900</v>
      </c>
      <c r="AF42" s="194">
        <v>1714</v>
      </c>
      <c r="AG42" s="190">
        <v>1890</v>
      </c>
      <c r="AH42" s="64">
        <v>1779</v>
      </c>
      <c r="AI42" s="54">
        <v>1807</v>
      </c>
      <c r="AJ42" s="54">
        <v>1800</v>
      </c>
      <c r="AK42" s="54">
        <v>2101</v>
      </c>
      <c r="AL42" s="54">
        <v>1800</v>
      </c>
      <c r="AM42" s="54">
        <v>1021</v>
      </c>
      <c r="AN42" s="54">
        <v>1900</v>
      </c>
      <c r="AO42" s="186">
        <v>1250</v>
      </c>
      <c r="AP42" s="181">
        <v>1300</v>
      </c>
      <c r="AQ42" s="67">
        <v>134</v>
      </c>
      <c r="AR42" s="50">
        <v>123</v>
      </c>
      <c r="AS42" s="50">
        <v>79</v>
      </c>
      <c r="AT42" s="50">
        <v>140</v>
      </c>
      <c r="AU42" s="50">
        <v>59</v>
      </c>
      <c r="AV42" s="50">
        <v>120</v>
      </c>
      <c r="AW42" s="50">
        <v>185</v>
      </c>
      <c r="AX42" s="50">
        <v>70</v>
      </c>
      <c r="AY42" s="203">
        <v>16</v>
      </c>
      <c r="AZ42" s="199">
        <v>35</v>
      </c>
      <c r="BA42" s="69">
        <v>1038</v>
      </c>
      <c r="BB42" s="51">
        <v>1051</v>
      </c>
      <c r="BC42" s="51">
        <v>930</v>
      </c>
      <c r="BD42" s="51">
        <v>1050</v>
      </c>
      <c r="BE42" s="51">
        <v>566</v>
      </c>
      <c r="BF42" s="51">
        <v>1000</v>
      </c>
      <c r="BG42" s="51">
        <v>920</v>
      </c>
      <c r="BH42" s="51">
        <v>600</v>
      </c>
      <c r="BI42" s="207">
        <v>9</v>
      </c>
      <c r="BJ42" s="264">
        <v>200</v>
      </c>
      <c r="BK42" s="214">
        <v>6272</v>
      </c>
      <c r="BL42" s="56">
        <v>5820</v>
      </c>
      <c r="BM42" s="56">
        <v>6009</v>
      </c>
      <c r="BN42" s="56">
        <v>5712</v>
      </c>
      <c r="BO42" s="56">
        <v>5760</v>
      </c>
      <c r="BP42" s="56">
        <v>6440</v>
      </c>
      <c r="BQ42" s="56">
        <v>7488</v>
      </c>
      <c r="BR42" s="214">
        <v>6233</v>
      </c>
      <c r="BS42" s="211">
        <v>6440</v>
      </c>
      <c r="BT42" s="62">
        <v>38858</v>
      </c>
      <c r="BU42" s="47">
        <v>38361</v>
      </c>
      <c r="BV42" s="172"/>
      <c r="BW42" s="66">
        <v>347</v>
      </c>
      <c r="BX42" s="55">
        <v>180</v>
      </c>
      <c r="BY42" s="55">
        <v>624</v>
      </c>
      <c r="BZ42" s="53">
        <v>274</v>
      </c>
      <c r="CA42" s="53">
        <v>966</v>
      </c>
      <c r="CB42" s="53">
        <v>280</v>
      </c>
      <c r="CC42" s="256">
        <v>842</v>
      </c>
      <c r="CD42" s="71">
        <v>1650</v>
      </c>
    </row>
    <row r="43" spans="1:82" x14ac:dyDescent="0.2">
      <c r="A43" s="59" t="s">
        <v>40</v>
      </c>
      <c r="B43" s="62">
        <v>166787</v>
      </c>
      <c r="C43" s="47">
        <v>178837</v>
      </c>
      <c r="D43" s="47">
        <v>181507</v>
      </c>
      <c r="E43" s="47">
        <v>178539</v>
      </c>
      <c r="F43" s="172">
        <v>175566</v>
      </c>
      <c r="G43" s="63">
        <v>12297</v>
      </c>
      <c r="H43" s="48">
        <v>10291</v>
      </c>
      <c r="I43" s="48">
        <v>10897</v>
      </c>
      <c r="J43" s="48">
        <v>10143</v>
      </c>
      <c r="K43" s="48">
        <v>9786</v>
      </c>
      <c r="L43" s="48">
        <v>14194</v>
      </c>
      <c r="M43" s="48">
        <v>17240</v>
      </c>
      <c r="N43" s="48">
        <v>12464</v>
      </c>
      <c r="O43" s="176">
        <v>17000</v>
      </c>
      <c r="P43" s="65">
        <v>6995</v>
      </c>
      <c r="Q43" s="49">
        <v>5403</v>
      </c>
      <c r="R43" s="49">
        <v>5453</v>
      </c>
      <c r="S43" s="49">
        <v>4490</v>
      </c>
      <c r="T43" s="49">
        <v>4698</v>
      </c>
      <c r="U43" s="49">
        <v>5863</v>
      </c>
      <c r="V43" s="49">
        <v>5200</v>
      </c>
      <c r="W43" s="187">
        <v>6657</v>
      </c>
      <c r="X43" s="182">
        <v>8500</v>
      </c>
      <c r="Y43" s="66">
        <v>3416</v>
      </c>
      <c r="Z43" s="55">
        <v>2684</v>
      </c>
      <c r="AA43" s="55">
        <v>2316</v>
      </c>
      <c r="AB43" s="55">
        <v>2686</v>
      </c>
      <c r="AC43" s="55">
        <v>2200</v>
      </c>
      <c r="AD43" s="55">
        <v>3423</v>
      </c>
      <c r="AE43" s="55">
        <v>4000</v>
      </c>
      <c r="AF43" s="194">
        <v>2765</v>
      </c>
      <c r="AG43" s="190">
        <v>4500</v>
      </c>
      <c r="AH43" s="64">
        <v>6517</v>
      </c>
      <c r="AI43" s="54">
        <v>6175</v>
      </c>
      <c r="AJ43" s="54">
        <v>5300</v>
      </c>
      <c r="AK43" s="54">
        <v>9908</v>
      </c>
      <c r="AL43" s="54">
        <v>6000</v>
      </c>
      <c r="AM43" s="54">
        <v>7638</v>
      </c>
      <c r="AN43" s="54">
        <v>4200</v>
      </c>
      <c r="AO43" s="186">
        <v>6389</v>
      </c>
      <c r="AP43" s="181">
        <v>4800</v>
      </c>
      <c r="AQ43" s="67">
        <v>263</v>
      </c>
      <c r="AR43" s="50">
        <v>265</v>
      </c>
      <c r="AS43" s="50">
        <v>371</v>
      </c>
      <c r="AT43" s="50">
        <v>240</v>
      </c>
      <c r="AU43" s="50">
        <v>425</v>
      </c>
      <c r="AV43" s="50">
        <v>390</v>
      </c>
      <c r="AW43" s="50">
        <v>2453</v>
      </c>
      <c r="AX43" s="50">
        <v>200</v>
      </c>
      <c r="AY43" s="203">
        <v>306</v>
      </c>
      <c r="AZ43" s="199">
        <v>170</v>
      </c>
      <c r="BA43" s="69">
        <v>1468</v>
      </c>
      <c r="BB43" s="51">
        <v>1465</v>
      </c>
      <c r="BC43" s="51">
        <v>1608</v>
      </c>
      <c r="BD43" s="51">
        <v>1560</v>
      </c>
      <c r="BE43" s="51">
        <v>1642</v>
      </c>
      <c r="BF43" s="51">
        <v>1600</v>
      </c>
      <c r="BG43" s="51">
        <v>6878</v>
      </c>
      <c r="BH43" s="51">
        <v>900</v>
      </c>
      <c r="BI43" s="207">
        <v>835</v>
      </c>
      <c r="BJ43" s="264">
        <v>650</v>
      </c>
      <c r="BK43" s="214">
        <v>14126</v>
      </c>
      <c r="BL43" s="56">
        <v>11958</v>
      </c>
      <c r="BM43" s="56">
        <v>12419</v>
      </c>
      <c r="BN43" s="56">
        <v>11564</v>
      </c>
      <c r="BO43" s="56">
        <v>11174</v>
      </c>
      <c r="BP43" s="56">
        <v>15188</v>
      </c>
      <c r="BQ43" s="56">
        <v>18046</v>
      </c>
      <c r="BR43" s="214">
        <v>13316</v>
      </c>
      <c r="BS43" s="211">
        <v>18100</v>
      </c>
      <c r="BT43" s="62">
        <v>180392</v>
      </c>
      <c r="BU43" s="47">
        <v>179253</v>
      </c>
      <c r="BV43" s="172"/>
      <c r="BW43" s="66">
        <v>787</v>
      </c>
      <c r="BX43" s="55">
        <v>515</v>
      </c>
      <c r="BY43" s="55">
        <v>747</v>
      </c>
      <c r="BZ43" s="53">
        <v>250</v>
      </c>
      <c r="CA43" s="53">
        <v>1165</v>
      </c>
      <c r="CB43" s="53">
        <v>700</v>
      </c>
      <c r="CC43" s="256">
        <v>1208</v>
      </c>
      <c r="CD43" s="71">
        <v>600</v>
      </c>
    </row>
    <row r="44" spans="1:82" x14ac:dyDescent="0.2">
      <c r="A44" s="59" t="s">
        <v>41</v>
      </c>
      <c r="B44" s="62">
        <v>59369</v>
      </c>
      <c r="C44" s="47">
        <v>62779</v>
      </c>
      <c r="D44" s="47">
        <v>63603</v>
      </c>
      <c r="E44" s="47">
        <v>62012</v>
      </c>
      <c r="F44" s="172">
        <v>61807</v>
      </c>
      <c r="G44" s="63">
        <v>6869</v>
      </c>
      <c r="H44" s="48">
        <v>6103</v>
      </c>
      <c r="I44" s="48">
        <v>6300</v>
      </c>
      <c r="J44" s="48">
        <v>5655</v>
      </c>
      <c r="K44" s="48">
        <v>5800</v>
      </c>
      <c r="L44" s="48">
        <v>7888</v>
      </c>
      <c r="M44" s="48">
        <v>7500</v>
      </c>
      <c r="N44" s="48">
        <v>8693</v>
      </c>
      <c r="O44" s="176">
        <v>9852</v>
      </c>
      <c r="P44" s="65">
        <v>4887</v>
      </c>
      <c r="Q44" s="49">
        <v>4124</v>
      </c>
      <c r="R44" s="49">
        <v>4000</v>
      </c>
      <c r="S44" s="49">
        <v>3486</v>
      </c>
      <c r="T44" s="49">
        <v>3374</v>
      </c>
      <c r="U44" s="49">
        <v>4429</v>
      </c>
      <c r="V44" s="49">
        <v>4000</v>
      </c>
      <c r="W44" s="187">
        <v>5587</v>
      </c>
      <c r="X44" s="182">
        <v>5635</v>
      </c>
      <c r="Y44" s="66">
        <v>2094</v>
      </c>
      <c r="Z44" s="55">
        <v>1854</v>
      </c>
      <c r="AA44" s="55">
        <v>1900</v>
      </c>
      <c r="AB44" s="55">
        <v>1627</v>
      </c>
      <c r="AC44" s="55">
        <v>1614</v>
      </c>
      <c r="AD44" s="55">
        <v>2302</v>
      </c>
      <c r="AE44" s="55">
        <v>2000</v>
      </c>
      <c r="AF44" s="194">
        <v>2331</v>
      </c>
      <c r="AG44" s="190">
        <v>2715</v>
      </c>
      <c r="AH44" s="64">
        <v>2947</v>
      </c>
      <c r="AI44" s="54">
        <v>3683</v>
      </c>
      <c r="AJ44" s="54">
        <v>2500</v>
      </c>
      <c r="AK44" s="54">
        <v>3774</v>
      </c>
      <c r="AL44" s="54">
        <v>3000</v>
      </c>
      <c r="AM44" s="54">
        <v>2298</v>
      </c>
      <c r="AN44" s="54">
        <v>2500</v>
      </c>
      <c r="AO44" s="186">
        <v>2829</v>
      </c>
      <c r="AP44" s="181">
        <v>2785</v>
      </c>
      <c r="AQ44" s="67">
        <v>114</v>
      </c>
      <c r="AR44" s="50">
        <v>114</v>
      </c>
      <c r="AS44" s="50">
        <v>142</v>
      </c>
      <c r="AT44" s="50">
        <v>120</v>
      </c>
      <c r="AU44" s="50">
        <v>127</v>
      </c>
      <c r="AV44" s="50">
        <v>120</v>
      </c>
      <c r="AW44" s="50">
        <v>358</v>
      </c>
      <c r="AX44" s="50">
        <v>80</v>
      </c>
      <c r="AY44" s="203">
        <v>18</v>
      </c>
      <c r="AZ44" s="199">
        <v>25</v>
      </c>
      <c r="BA44" s="69">
        <v>837</v>
      </c>
      <c r="BB44" s="51">
        <v>873</v>
      </c>
      <c r="BC44" s="51">
        <v>760</v>
      </c>
      <c r="BD44" s="51">
        <v>850</v>
      </c>
      <c r="BE44" s="51">
        <v>856</v>
      </c>
      <c r="BF44" s="51">
        <v>800</v>
      </c>
      <c r="BG44" s="51">
        <v>1802</v>
      </c>
      <c r="BH44" s="51">
        <v>500</v>
      </c>
      <c r="BI44" s="207">
        <v>0</v>
      </c>
      <c r="BJ44" s="264">
        <v>20</v>
      </c>
      <c r="BK44" s="214">
        <v>8453</v>
      </c>
      <c r="BL44" s="56">
        <v>7784</v>
      </c>
      <c r="BM44" s="56">
        <v>7800</v>
      </c>
      <c r="BN44" s="56">
        <v>6917</v>
      </c>
      <c r="BO44" s="56">
        <v>7500</v>
      </c>
      <c r="BP44" s="56">
        <v>9009</v>
      </c>
      <c r="BQ44" s="56">
        <v>8500</v>
      </c>
      <c r="BR44" s="214">
        <v>9476</v>
      </c>
      <c r="BS44" s="211">
        <v>10931</v>
      </c>
      <c r="BT44" s="62">
        <v>63078</v>
      </c>
      <c r="BU44" s="47">
        <v>62240</v>
      </c>
      <c r="BV44" s="172"/>
      <c r="BW44" s="66">
        <v>459</v>
      </c>
      <c r="BX44" s="55">
        <v>350</v>
      </c>
      <c r="BY44" s="55">
        <v>645</v>
      </c>
      <c r="BZ44" s="53">
        <v>302</v>
      </c>
      <c r="CA44" s="53">
        <v>590</v>
      </c>
      <c r="CB44" s="53">
        <v>350</v>
      </c>
      <c r="CC44" s="256">
        <v>611</v>
      </c>
      <c r="CD44" s="71">
        <v>380</v>
      </c>
    </row>
    <row r="45" spans="1:82" x14ac:dyDescent="0.2">
      <c r="A45" s="59" t="s">
        <v>42</v>
      </c>
      <c r="B45" s="62">
        <v>29254</v>
      </c>
      <c r="C45" s="47">
        <v>29881</v>
      </c>
      <c r="D45" s="47">
        <v>30059</v>
      </c>
      <c r="E45" s="47">
        <v>29322</v>
      </c>
      <c r="F45" s="172">
        <v>29097</v>
      </c>
      <c r="G45" s="63">
        <v>4749</v>
      </c>
      <c r="H45" s="48">
        <v>4158</v>
      </c>
      <c r="I45" s="48">
        <v>3449</v>
      </c>
      <c r="J45" s="48">
        <v>3648</v>
      </c>
      <c r="K45" s="48">
        <v>3600</v>
      </c>
      <c r="L45" s="48">
        <v>4654</v>
      </c>
      <c r="M45" s="48">
        <v>4000</v>
      </c>
      <c r="N45" s="48">
        <v>4420</v>
      </c>
      <c r="O45" s="176">
        <v>4900</v>
      </c>
      <c r="P45" s="65">
        <v>3227</v>
      </c>
      <c r="Q45" s="49">
        <v>2615</v>
      </c>
      <c r="R45" s="49">
        <v>2227</v>
      </c>
      <c r="S45" s="49">
        <v>2368</v>
      </c>
      <c r="T45" s="49">
        <v>2000</v>
      </c>
      <c r="U45" s="49">
        <v>2755</v>
      </c>
      <c r="V45" s="49">
        <v>2300</v>
      </c>
      <c r="W45" s="187">
        <v>3111</v>
      </c>
      <c r="X45" s="182">
        <v>3000</v>
      </c>
      <c r="Y45" s="66">
        <v>1258</v>
      </c>
      <c r="Z45" s="55">
        <v>1066</v>
      </c>
      <c r="AA45" s="55">
        <v>758</v>
      </c>
      <c r="AB45" s="55">
        <v>910</v>
      </c>
      <c r="AC45" s="55">
        <v>800</v>
      </c>
      <c r="AD45" s="55">
        <v>1141</v>
      </c>
      <c r="AE45" s="55">
        <v>1026</v>
      </c>
      <c r="AF45" s="194">
        <v>996</v>
      </c>
      <c r="AG45" s="190">
        <v>980</v>
      </c>
      <c r="AH45" s="64">
        <v>1137</v>
      </c>
      <c r="AI45" s="54">
        <v>1245</v>
      </c>
      <c r="AJ45" s="54">
        <v>1000</v>
      </c>
      <c r="AK45" s="54">
        <v>1414</v>
      </c>
      <c r="AL45" s="54">
        <v>1000</v>
      </c>
      <c r="AM45" s="54">
        <v>686</v>
      </c>
      <c r="AN45" s="54">
        <v>600</v>
      </c>
      <c r="AO45" s="186">
        <v>605</v>
      </c>
      <c r="AP45" s="181">
        <v>900</v>
      </c>
      <c r="AQ45" s="67">
        <v>122</v>
      </c>
      <c r="AR45" s="50">
        <v>122</v>
      </c>
      <c r="AS45" s="50">
        <v>125</v>
      </c>
      <c r="AT45" s="50">
        <v>140</v>
      </c>
      <c r="AU45" s="50">
        <v>138</v>
      </c>
      <c r="AV45" s="50">
        <v>120</v>
      </c>
      <c r="AW45" s="50">
        <v>269</v>
      </c>
      <c r="AX45" s="50">
        <v>30</v>
      </c>
      <c r="AY45" s="203">
        <v>43</v>
      </c>
      <c r="AZ45" s="199">
        <v>30</v>
      </c>
      <c r="BA45" s="69">
        <v>495</v>
      </c>
      <c r="BB45" s="51">
        <v>774</v>
      </c>
      <c r="BC45" s="51">
        <v>246</v>
      </c>
      <c r="BD45" s="51">
        <v>450</v>
      </c>
      <c r="BE45" s="51">
        <v>183</v>
      </c>
      <c r="BF45" s="51">
        <v>300</v>
      </c>
      <c r="BG45" s="51">
        <v>541</v>
      </c>
      <c r="BH45" s="51">
        <v>90</v>
      </c>
      <c r="BI45" s="207">
        <v>0</v>
      </c>
      <c r="BJ45" s="264">
        <v>50</v>
      </c>
      <c r="BK45" s="214">
        <v>5428</v>
      </c>
      <c r="BL45" s="56">
        <v>4763</v>
      </c>
      <c r="BM45" s="56">
        <v>3928</v>
      </c>
      <c r="BN45" s="56">
        <v>4408</v>
      </c>
      <c r="BO45" s="56">
        <v>4000</v>
      </c>
      <c r="BP45" s="56">
        <v>5219</v>
      </c>
      <c r="BQ45" s="56">
        <v>4800</v>
      </c>
      <c r="BR45" s="214">
        <v>4936</v>
      </c>
      <c r="BS45" s="211">
        <v>5250</v>
      </c>
      <c r="BT45" s="62">
        <v>29800</v>
      </c>
      <c r="BU45" s="47">
        <v>29466</v>
      </c>
      <c r="BV45" s="172"/>
      <c r="BW45" s="66">
        <v>492</v>
      </c>
      <c r="BX45" s="55">
        <v>300</v>
      </c>
      <c r="BY45" s="55">
        <v>538</v>
      </c>
      <c r="BZ45" s="53">
        <v>400</v>
      </c>
      <c r="CA45" s="53">
        <v>533</v>
      </c>
      <c r="CB45" s="53">
        <v>592</v>
      </c>
      <c r="CC45" s="256">
        <v>513</v>
      </c>
      <c r="CD45" s="71">
        <v>400</v>
      </c>
    </row>
    <row r="46" spans="1:82" x14ac:dyDescent="0.2">
      <c r="A46" s="61" t="s">
        <v>43</v>
      </c>
      <c r="B46" s="62">
        <v>56461</v>
      </c>
      <c r="C46" s="47">
        <v>59011</v>
      </c>
      <c r="D46" s="47">
        <v>59439</v>
      </c>
      <c r="E46" s="47">
        <v>58351</v>
      </c>
      <c r="F46" s="172">
        <v>57755</v>
      </c>
      <c r="G46" s="63">
        <v>5300</v>
      </c>
      <c r="H46" s="48">
        <v>4439</v>
      </c>
      <c r="I46" s="48">
        <v>4400</v>
      </c>
      <c r="J46" s="48">
        <v>4148</v>
      </c>
      <c r="K46" s="48">
        <v>3849</v>
      </c>
      <c r="L46" s="48">
        <v>6120</v>
      </c>
      <c r="M46" s="48">
        <v>6200</v>
      </c>
      <c r="N46" s="48">
        <v>5447</v>
      </c>
      <c r="O46" s="176">
        <v>6450</v>
      </c>
      <c r="P46" s="65">
        <v>3697</v>
      </c>
      <c r="Q46" s="49">
        <v>2931</v>
      </c>
      <c r="R46" s="49">
        <v>3050</v>
      </c>
      <c r="S46" s="49">
        <v>2332</v>
      </c>
      <c r="T46" s="49">
        <v>2531</v>
      </c>
      <c r="U46" s="49">
        <v>3083</v>
      </c>
      <c r="V46" s="49">
        <v>2700</v>
      </c>
      <c r="W46" s="187">
        <v>3408</v>
      </c>
      <c r="X46" s="182">
        <v>3900</v>
      </c>
      <c r="Y46" s="66">
        <v>1798</v>
      </c>
      <c r="Z46" s="55">
        <v>1441</v>
      </c>
      <c r="AA46" s="55">
        <v>1498</v>
      </c>
      <c r="AB46" s="55">
        <v>1318</v>
      </c>
      <c r="AC46" s="55">
        <v>1141</v>
      </c>
      <c r="AD46" s="55">
        <v>1910</v>
      </c>
      <c r="AE46" s="55">
        <v>2200</v>
      </c>
      <c r="AF46" s="194">
        <v>1496</v>
      </c>
      <c r="AG46" s="190">
        <v>2100</v>
      </c>
      <c r="AH46" s="64">
        <v>3133</v>
      </c>
      <c r="AI46" s="54">
        <v>3219</v>
      </c>
      <c r="AJ46" s="54">
        <v>2193</v>
      </c>
      <c r="AK46" s="54">
        <v>3090</v>
      </c>
      <c r="AL46" s="54">
        <v>3500</v>
      </c>
      <c r="AM46" s="54">
        <v>2634</v>
      </c>
      <c r="AN46" s="54">
        <v>2100</v>
      </c>
      <c r="AO46" s="186">
        <v>2642</v>
      </c>
      <c r="AP46" s="181">
        <v>2100</v>
      </c>
      <c r="AQ46" s="67">
        <v>84</v>
      </c>
      <c r="AR46" s="50">
        <v>77</v>
      </c>
      <c r="AS46" s="50">
        <v>57</v>
      </c>
      <c r="AT46" s="50">
        <v>150</v>
      </c>
      <c r="AU46" s="50">
        <v>114</v>
      </c>
      <c r="AV46" s="50">
        <v>80</v>
      </c>
      <c r="AW46" s="50">
        <v>223</v>
      </c>
      <c r="AX46" s="50">
        <v>40</v>
      </c>
      <c r="AY46" s="203">
        <v>57</v>
      </c>
      <c r="AZ46" s="199">
        <v>60</v>
      </c>
      <c r="BA46" s="69">
        <v>1131</v>
      </c>
      <c r="BB46" s="51">
        <v>1109</v>
      </c>
      <c r="BC46" s="51">
        <v>1020</v>
      </c>
      <c r="BD46" s="51">
        <v>1300</v>
      </c>
      <c r="BE46" s="51">
        <v>1255</v>
      </c>
      <c r="BF46" s="51">
        <v>1300</v>
      </c>
      <c r="BG46" s="51">
        <v>2607</v>
      </c>
      <c r="BH46" s="51">
        <v>350</v>
      </c>
      <c r="BI46" s="207">
        <v>0</v>
      </c>
      <c r="BJ46" s="264">
        <v>390</v>
      </c>
      <c r="BK46" s="214">
        <v>6860</v>
      </c>
      <c r="BL46" s="56">
        <v>5751</v>
      </c>
      <c r="BM46" s="56">
        <v>5800</v>
      </c>
      <c r="BN46" s="56">
        <v>5297</v>
      </c>
      <c r="BO46" s="56">
        <v>5176</v>
      </c>
      <c r="BP46" s="56">
        <v>7092</v>
      </c>
      <c r="BQ46" s="56">
        <v>7200</v>
      </c>
      <c r="BR46" s="214">
        <v>6140</v>
      </c>
      <c r="BS46" s="211">
        <v>7100</v>
      </c>
      <c r="BT46" s="62">
        <v>58995</v>
      </c>
      <c r="BU46" s="47">
        <v>58671</v>
      </c>
      <c r="BV46" s="172"/>
      <c r="BW46" s="66">
        <v>325</v>
      </c>
      <c r="BX46" s="55">
        <v>250</v>
      </c>
      <c r="BY46" s="55">
        <v>433</v>
      </c>
      <c r="BZ46" s="53">
        <v>270</v>
      </c>
      <c r="CA46" s="53">
        <v>586</v>
      </c>
      <c r="CB46" s="53">
        <v>250</v>
      </c>
      <c r="CC46" s="256">
        <v>606</v>
      </c>
      <c r="CD46" s="71">
        <v>400</v>
      </c>
    </row>
    <row r="47" spans="1:82" x14ac:dyDescent="0.2">
      <c r="A47" s="59" t="s">
        <v>44</v>
      </c>
      <c r="B47" s="62">
        <v>48423</v>
      </c>
      <c r="C47" s="47">
        <v>50172</v>
      </c>
      <c r="D47" s="47">
        <v>50727</v>
      </c>
      <c r="E47" s="47">
        <v>49462</v>
      </c>
      <c r="F47" s="172">
        <v>48946</v>
      </c>
      <c r="G47" s="63">
        <v>6598</v>
      </c>
      <c r="H47" s="48">
        <v>6100</v>
      </c>
      <c r="I47" s="48">
        <v>5899</v>
      </c>
      <c r="J47" s="48">
        <v>5589</v>
      </c>
      <c r="K47" s="48">
        <v>5432</v>
      </c>
      <c r="L47" s="48">
        <v>6980</v>
      </c>
      <c r="M47" s="48">
        <v>6500</v>
      </c>
      <c r="N47" s="48">
        <v>6222</v>
      </c>
      <c r="O47" s="176">
        <v>6758</v>
      </c>
      <c r="P47" s="65">
        <v>4940</v>
      </c>
      <c r="Q47" s="49">
        <v>4175</v>
      </c>
      <c r="R47" s="49">
        <v>3999</v>
      </c>
      <c r="S47" s="49">
        <v>3754</v>
      </c>
      <c r="T47" s="49">
        <v>3799</v>
      </c>
      <c r="U47" s="49">
        <v>4146</v>
      </c>
      <c r="V47" s="49">
        <v>3700</v>
      </c>
      <c r="W47" s="187">
        <v>4314</v>
      </c>
      <c r="X47" s="182">
        <v>3924</v>
      </c>
      <c r="Y47" s="66">
        <v>1936</v>
      </c>
      <c r="Z47" s="55">
        <v>1644</v>
      </c>
      <c r="AA47" s="55">
        <v>1499</v>
      </c>
      <c r="AB47" s="55">
        <v>1519</v>
      </c>
      <c r="AC47" s="55">
        <v>1459</v>
      </c>
      <c r="AD47" s="55">
        <v>1869</v>
      </c>
      <c r="AE47" s="55">
        <v>1800</v>
      </c>
      <c r="AF47" s="194">
        <v>1494</v>
      </c>
      <c r="AG47" s="190">
        <v>1719</v>
      </c>
      <c r="AH47" s="64">
        <v>1383</v>
      </c>
      <c r="AI47" s="54">
        <v>1327</v>
      </c>
      <c r="AJ47" s="54">
        <v>1400</v>
      </c>
      <c r="AK47" s="54">
        <v>1974</v>
      </c>
      <c r="AL47" s="54">
        <v>1350</v>
      </c>
      <c r="AM47" s="54">
        <v>1700</v>
      </c>
      <c r="AN47" s="54">
        <v>1100</v>
      </c>
      <c r="AO47" s="186">
        <v>932</v>
      </c>
      <c r="AP47" s="181">
        <v>1000</v>
      </c>
      <c r="AQ47" s="67" t="s">
        <v>91</v>
      </c>
      <c r="AR47" s="50">
        <v>150</v>
      </c>
      <c r="AS47" s="50">
        <v>48</v>
      </c>
      <c r="AT47" s="50" t="s">
        <v>91</v>
      </c>
      <c r="AU47" s="50">
        <v>46</v>
      </c>
      <c r="AV47" s="50">
        <v>50</v>
      </c>
      <c r="AW47" s="50">
        <v>118</v>
      </c>
      <c r="AX47" s="50">
        <v>25</v>
      </c>
      <c r="AY47" s="203">
        <v>7</v>
      </c>
      <c r="AZ47" s="199">
        <v>7</v>
      </c>
      <c r="BA47" s="69" t="s">
        <v>91</v>
      </c>
      <c r="BB47" s="51">
        <v>1313</v>
      </c>
      <c r="BC47" s="51">
        <v>536</v>
      </c>
      <c r="BD47" s="51" t="s">
        <v>91</v>
      </c>
      <c r="BE47" s="51">
        <v>1185</v>
      </c>
      <c r="BF47" s="51">
        <v>550</v>
      </c>
      <c r="BG47" s="51">
        <v>4967</v>
      </c>
      <c r="BH47" s="51">
        <v>500</v>
      </c>
      <c r="BI47" s="207">
        <v>267</v>
      </c>
      <c r="BJ47" s="264">
        <v>355</v>
      </c>
      <c r="BK47" s="214">
        <v>7900</v>
      </c>
      <c r="BL47" s="56">
        <v>7326</v>
      </c>
      <c r="BM47" s="56">
        <v>7015</v>
      </c>
      <c r="BN47" s="56">
        <v>6699</v>
      </c>
      <c r="BO47" s="56">
        <v>6789</v>
      </c>
      <c r="BP47" s="56">
        <v>7846</v>
      </c>
      <c r="BQ47" s="56">
        <v>7400</v>
      </c>
      <c r="BR47" s="214">
        <v>6920</v>
      </c>
      <c r="BS47" s="211">
        <v>7600</v>
      </c>
      <c r="BT47" s="62">
        <v>50310</v>
      </c>
      <c r="BU47" s="47">
        <v>49655</v>
      </c>
      <c r="BV47" s="172"/>
      <c r="BW47" s="66">
        <v>505</v>
      </c>
      <c r="BX47" s="55">
        <v>333</v>
      </c>
      <c r="BY47" s="55">
        <v>653</v>
      </c>
      <c r="BZ47" s="53">
        <v>335</v>
      </c>
      <c r="CA47" s="53">
        <v>614</v>
      </c>
      <c r="CB47" s="53">
        <v>360</v>
      </c>
      <c r="CC47" s="256">
        <v>609</v>
      </c>
      <c r="CD47" s="71">
        <v>310</v>
      </c>
    </row>
    <row r="48" spans="1:82" ht="13.5" thickBot="1" x14ac:dyDescent="0.25">
      <c r="A48" s="83" t="s">
        <v>45</v>
      </c>
      <c r="B48" s="84">
        <v>33076</v>
      </c>
      <c r="C48" s="85">
        <v>32276</v>
      </c>
      <c r="D48" s="85">
        <v>32605</v>
      </c>
      <c r="E48" s="85">
        <v>32424</v>
      </c>
      <c r="F48" s="173">
        <v>31777</v>
      </c>
      <c r="G48" s="86">
        <v>5106</v>
      </c>
      <c r="H48" s="87">
        <v>4908</v>
      </c>
      <c r="I48" s="87">
        <v>4406</v>
      </c>
      <c r="J48" s="87">
        <v>4821</v>
      </c>
      <c r="K48" s="87">
        <v>4700</v>
      </c>
      <c r="L48" s="87">
        <v>5813</v>
      </c>
      <c r="M48" s="87">
        <v>5215</v>
      </c>
      <c r="N48" s="87">
        <v>5478</v>
      </c>
      <c r="O48" s="177">
        <v>5700</v>
      </c>
      <c r="P48" s="88">
        <v>3399</v>
      </c>
      <c r="Q48" s="89">
        <v>2666</v>
      </c>
      <c r="R48" s="89">
        <v>2979</v>
      </c>
      <c r="S48" s="89">
        <v>2541</v>
      </c>
      <c r="T48" s="89">
        <v>2250</v>
      </c>
      <c r="U48" s="89">
        <v>3156</v>
      </c>
      <c r="V48" s="89">
        <v>2541</v>
      </c>
      <c r="W48" s="188">
        <v>3295</v>
      </c>
      <c r="X48" s="183">
        <v>3100</v>
      </c>
      <c r="Y48" s="90">
        <v>1712</v>
      </c>
      <c r="Z48" s="91">
        <v>1618</v>
      </c>
      <c r="AA48" s="91">
        <v>1382</v>
      </c>
      <c r="AB48" s="91">
        <v>1748</v>
      </c>
      <c r="AC48" s="91">
        <v>1400</v>
      </c>
      <c r="AD48" s="91">
        <v>1935</v>
      </c>
      <c r="AE48" s="91">
        <v>1748</v>
      </c>
      <c r="AF48" s="195">
        <v>1559</v>
      </c>
      <c r="AG48" s="191">
        <v>1750</v>
      </c>
      <c r="AH48" s="92">
        <v>1441</v>
      </c>
      <c r="AI48" s="93">
        <v>1590</v>
      </c>
      <c r="AJ48" s="93">
        <v>1400</v>
      </c>
      <c r="AK48" s="93">
        <v>2184</v>
      </c>
      <c r="AL48" s="93">
        <v>1650</v>
      </c>
      <c r="AM48" s="93">
        <v>1606</v>
      </c>
      <c r="AN48" s="93">
        <v>1500</v>
      </c>
      <c r="AO48" s="197">
        <v>1196</v>
      </c>
      <c r="AP48" s="196">
        <v>1400</v>
      </c>
      <c r="AQ48" s="94">
        <v>19</v>
      </c>
      <c r="AR48" s="95">
        <v>19</v>
      </c>
      <c r="AS48" s="95">
        <v>23</v>
      </c>
      <c r="AT48" s="95">
        <v>30</v>
      </c>
      <c r="AU48" s="95">
        <v>32</v>
      </c>
      <c r="AV48" s="95">
        <v>35</v>
      </c>
      <c r="AW48" s="95">
        <v>76</v>
      </c>
      <c r="AX48" s="95">
        <v>10</v>
      </c>
      <c r="AY48" s="205">
        <v>19</v>
      </c>
      <c r="AZ48" s="201">
        <v>20</v>
      </c>
      <c r="BA48" s="96">
        <v>521</v>
      </c>
      <c r="BB48" s="97">
        <v>521</v>
      </c>
      <c r="BC48" s="97">
        <v>310</v>
      </c>
      <c r="BD48" s="97">
        <v>600</v>
      </c>
      <c r="BE48" s="97">
        <v>299</v>
      </c>
      <c r="BF48" s="97">
        <v>500</v>
      </c>
      <c r="BG48" s="97">
        <v>1239</v>
      </c>
      <c r="BH48" s="97">
        <v>384</v>
      </c>
      <c r="BI48" s="209">
        <v>114</v>
      </c>
      <c r="BJ48" s="266">
        <v>180</v>
      </c>
      <c r="BK48" s="216">
        <v>5886</v>
      </c>
      <c r="BL48" s="98">
        <v>5461</v>
      </c>
      <c r="BM48" s="98">
        <v>5186</v>
      </c>
      <c r="BN48" s="98">
        <v>5481</v>
      </c>
      <c r="BO48" s="98">
        <v>5300</v>
      </c>
      <c r="BP48" s="98">
        <v>6365</v>
      </c>
      <c r="BQ48" s="98">
        <v>5869</v>
      </c>
      <c r="BR48" s="216">
        <v>5814</v>
      </c>
      <c r="BS48" s="213">
        <v>6100</v>
      </c>
      <c r="BT48" s="84">
        <v>32628</v>
      </c>
      <c r="BU48" s="85">
        <v>32422</v>
      </c>
      <c r="BV48" s="173"/>
      <c r="BW48" s="159">
        <v>212</v>
      </c>
      <c r="BX48" s="160">
        <v>100</v>
      </c>
      <c r="BY48" s="160">
        <v>397</v>
      </c>
      <c r="BZ48" s="161">
        <v>100</v>
      </c>
      <c r="CA48" s="161">
        <v>676</v>
      </c>
      <c r="CB48" s="161">
        <v>150</v>
      </c>
      <c r="CC48" s="257">
        <v>820</v>
      </c>
      <c r="CD48" s="162">
        <v>200</v>
      </c>
    </row>
    <row r="49" spans="1:82" ht="13.5" thickBot="1" x14ac:dyDescent="0.25">
      <c r="A49" s="99" t="s">
        <v>47</v>
      </c>
      <c r="B49" s="100">
        <f>SUM(B3:B48)</f>
        <v>2725838</v>
      </c>
      <c r="C49" s="101">
        <f>SUM(C3:C48)</f>
        <v>2741205</v>
      </c>
      <c r="D49" s="101">
        <f>SUM(D3:D48)</f>
        <v>2754400</v>
      </c>
      <c r="E49" s="179">
        <f>SUM(E3:E48)</f>
        <v>2738004</v>
      </c>
      <c r="F49" s="174">
        <v>2704064</v>
      </c>
      <c r="G49" s="100">
        <f t="shared" ref="G49" si="0">SUM(G3:G48)</f>
        <v>161915</v>
      </c>
      <c r="H49" s="101">
        <f t="shared" ref="H49:I49" si="1">SUM(H3:H48)</f>
        <v>138198</v>
      </c>
      <c r="I49" s="101">
        <f t="shared" si="1"/>
        <v>133672</v>
      </c>
      <c r="J49" s="101">
        <f>SUM(J3:J48)</f>
        <v>135517</v>
      </c>
      <c r="K49" s="101">
        <f>SUM(K3:K48)</f>
        <v>125638</v>
      </c>
      <c r="L49" s="101">
        <f>SUM(L3:L48)</f>
        <v>207184</v>
      </c>
      <c r="M49" s="101">
        <f>SUM(M3:M48)</f>
        <v>218299.2</v>
      </c>
      <c r="N49" s="101">
        <v>182760</v>
      </c>
      <c r="O49" s="178">
        <f>SUM(O3:O48)</f>
        <v>211902</v>
      </c>
      <c r="P49" s="100">
        <f t="shared" ref="P49:AI49" si="2">SUM(P3:P48)</f>
        <v>87828</v>
      </c>
      <c r="Q49" s="101">
        <f t="shared" si="2"/>
        <v>67549</v>
      </c>
      <c r="R49" s="101">
        <f t="shared" ref="R49" si="3">SUM(R3:R48)</f>
        <v>67430</v>
      </c>
      <c r="S49" s="101">
        <f>SUM(S3:S48)</f>
        <v>58532</v>
      </c>
      <c r="T49" s="101">
        <v>57715</v>
      </c>
      <c r="U49" s="101">
        <f>SUM(U3:U48)</f>
        <v>79665</v>
      </c>
      <c r="V49" s="101">
        <f>SUM(V3:V48)</f>
        <v>71980</v>
      </c>
      <c r="W49" s="169">
        <v>94217</v>
      </c>
      <c r="X49" s="178">
        <v>92633</v>
      </c>
      <c r="Y49" s="100">
        <f t="shared" si="2"/>
        <v>47473</v>
      </c>
      <c r="Z49" s="101">
        <f t="shared" ref="Z49" si="4">SUM(Z3:Z48)</f>
        <v>39637</v>
      </c>
      <c r="AA49" s="101">
        <f t="shared" ref="AA49" si="5">SUM(AA3:AA48)</f>
        <v>34234</v>
      </c>
      <c r="AB49" s="101">
        <v>39627</v>
      </c>
      <c r="AC49" s="101">
        <v>33321</v>
      </c>
      <c r="AD49" s="101">
        <f>SUM(AD3:AD48)</f>
        <v>55800</v>
      </c>
      <c r="AE49" s="101">
        <f>SUM(AE3:AE48)</f>
        <v>56610</v>
      </c>
      <c r="AF49" s="169">
        <v>44741</v>
      </c>
      <c r="AG49" s="178">
        <v>55374</v>
      </c>
      <c r="AH49" s="100">
        <f t="shared" si="2"/>
        <v>210607</v>
      </c>
      <c r="AI49" s="101">
        <f t="shared" si="2"/>
        <v>224549</v>
      </c>
      <c r="AJ49" s="101">
        <f t="shared" ref="AJ49" si="6">SUM(AJ3:AJ48)</f>
        <v>122811</v>
      </c>
      <c r="AK49" s="101">
        <v>253578</v>
      </c>
      <c r="AL49" s="101">
        <v>207235</v>
      </c>
      <c r="AM49" s="101">
        <f>SUM(AM3:AM48)</f>
        <v>175088</v>
      </c>
      <c r="AN49" s="101">
        <v>148383</v>
      </c>
      <c r="AO49" s="169">
        <v>182304</v>
      </c>
      <c r="AP49" s="178">
        <v>155088</v>
      </c>
      <c r="AQ49" s="100">
        <f t="shared" ref="AQ49:BM49" si="7">SUM(AQ3:AQ48)</f>
        <v>4564</v>
      </c>
      <c r="AR49" s="101">
        <f t="shared" si="7"/>
        <v>5873</v>
      </c>
      <c r="AS49" s="101">
        <f t="shared" si="7"/>
        <v>5498</v>
      </c>
      <c r="AT49" s="101">
        <f t="shared" si="7"/>
        <v>5014</v>
      </c>
      <c r="AU49" s="101">
        <v>5383</v>
      </c>
      <c r="AV49" s="101">
        <v>5596</v>
      </c>
      <c r="AW49" s="101">
        <f>SUM(AW3:AW48)</f>
        <v>18586</v>
      </c>
      <c r="AX49" s="101">
        <f>SUM(AX3:AX48)</f>
        <v>2788</v>
      </c>
      <c r="AY49" s="169">
        <v>2158</v>
      </c>
      <c r="AZ49" s="178">
        <v>2185</v>
      </c>
      <c r="BA49" s="100">
        <f t="shared" si="7"/>
        <v>25451</v>
      </c>
      <c r="BB49" s="101">
        <f t="shared" si="7"/>
        <v>31477</v>
      </c>
      <c r="BC49" s="101">
        <f t="shared" si="7"/>
        <v>25093</v>
      </c>
      <c r="BD49" s="101">
        <f t="shared" si="7"/>
        <v>26531</v>
      </c>
      <c r="BE49" s="101">
        <v>27201</v>
      </c>
      <c r="BF49" s="101">
        <v>26540</v>
      </c>
      <c r="BG49" s="101">
        <f>SUM(BG3:BG48)</f>
        <v>86067</v>
      </c>
      <c r="BH49" s="101">
        <f>SUM(BH3:BH48)</f>
        <v>16352</v>
      </c>
      <c r="BI49" s="169">
        <v>6557</v>
      </c>
      <c r="BJ49" s="267">
        <v>11688</v>
      </c>
      <c r="BK49" s="169">
        <f t="shared" si="7"/>
        <v>195583</v>
      </c>
      <c r="BL49" s="101">
        <f t="shared" si="7"/>
        <v>169802</v>
      </c>
      <c r="BM49" s="101">
        <f t="shared" si="7"/>
        <v>164296</v>
      </c>
      <c r="BN49" s="101">
        <v>165455</v>
      </c>
      <c r="BO49" s="101">
        <f>SUM(BO3:BO48)</f>
        <v>157085</v>
      </c>
      <c r="BP49" s="101">
        <f>SUM(BP3:BP48)</f>
        <v>227341</v>
      </c>
      <c r="BQ49" s="101">
        <f>SUM(BQ3:BQ48)</f>
        <v>244254</v>
      </c>
      <c r="BR49" s="169">
        <v>200225</v>
      </c>
      <c r="BS49" s="178">
        <v>230759.55</v>
      </c>
      <c r="BT49" s="100">
        <v>2752754</v>
      </c>
      <c r="BU49" s="101">
        <f>SUM(BU3:BU48)</f>
        <v>2739392</v>
      </c>
      <c r="BV49" s="178"/>
      <c r="BW49" s="100">
        <f t="shared" ref="BW49:BX49" si="8">SUM(BW3:BW48)</f>
        <v>10957</v>
      </c>
      <c r="BX49" s="101">
        <f t="shared" si="8"/>
        <v>6771</v>
      </c>
      <c r="BY49" s="101">
        <f>SUM(BY3:BY48)</f>
        <v>10878</v>
      </c>
      <c r="BZ49" s="101">
        <f>SUM(BZ3:BZ48)</f>
        <v>7665</v>
      </c>
      <c r="CA49" s="101">
        <f>SUM(CA3:CA48)</f>
        <v>15277</v>
      </c>
      <c r="CB49" s="101">
        <f>SUM(CB3:CB48)</f>
        <v>7638</v>
      </c>
      <c r="CC49" s="169">
        <v>15827</v>
      </c>
      <c r="CD49" s="102">
        <v>11019</v>
      </c>
    </row>
    <row r="51" spans="1:82" x14ac:dyDescent="0.2">
      <c r="N51" s="217"/>
    </row>
    <row r="52" spans="1:82" x14ac:dyDescent="0.2">
      <c r="AF52" s="217"/>
      <c r="AP52" s="217"/>
      <c r="BJ52" s="217"/>
    </row>
    <row r="53" spans="1:82" x14ac:dyDescent="0.2">
      <c r="BR53" s="217"/>
    </row>
    <row r="54" spans="1:82" x14ac:dyDescent="0.2">
      <c r="O54" s="217"/>
    </row>
  </sheetData>
  <sheetProtection algorithmName="SHA-512" hashValue="3O6Y1ORQl1U0gZ55/91wFd+VqVJ+uQrpXiZwcPq1zKcBMAv7tKYw+EMrdfRigNA8OicsqnlJS6t7smkvb8Arow==" saltValue="Twx6ObOGgsR9Hh8nmzXaL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1_Analýza</vt:lpstr>
      <vt:lpstr>2_Prognóza</vt:lpstr>
      <vt:lpstr>3_Investori</vt:lpstr>
      <vt:lpstr>4_Podpora zamestnanosti</vt:lpstr>
      <vt:lpstr>5_Projekty a programy</vt:lpstr>
      <vt:lpstr>Plan</vt:lpstr>
      <vt:lpstr>Minulost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stefanik</dc:creator>
  <cp:lastModifiedBy>Partlová Oľga</cp:lastModifiedBy>
  <cp:lastPrinted>2021-06-15T07:17:10Z</cp:lastPrinted>
  <dcterms:created xsi:type="dcterms:W3CDTF">2019-02-05T17:10:29Z</dcterms:created>
  <dcterms:modified xsi:type="dcterms:W3CDTF">2022-05-12T07:19:25Z</dcterms:modified>
</cp:coreProperties>
</file>